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995" tabRatio="861" activeTab="1"/>
  </bookViews>
  <sheets>
    <sheet name="Прил. №1" sheetId="1" r:id="rId1"/>
    <sheet name="Прил.№2" sheetId="2" r:id="rId2"/>
    <sheet name="Прил.№3" sheetId="3" r:id="rId3"/>
    <sheet name="Прил.№4" sheetId="4" r:id="rId4"/>
    <sheet name="Прил.№5" sheetId="5" r:id="rId5"/>
    <sheet name="Прил.№6" sheetId="6" r:id="rId6"/>
    <sheet name="Прил.№7" sheetId="7" r:id="rId7"/>
    <sheet name="Прил.№8" sheetId="8" r:id="rId8"/>
    <sheet name="прил№9" sheetId="9" r:id="rId9"/>
    <sheet name="Прил.№10" sheetId="10" r:id="rId10"/>
  </sheets>
  <definedNames>
    <definedName name="_xlnm.Print_Area" localSheetId="0">'Прил. №1'!$A$1:$H$45</definedName>
  </definedNames>
  <calcPr fullCalcOnLoad="1"/>
</workbook>
</file>

<file path=xl/sharedStrings.xml><?xml version="1.0" encoding="utf-8"?>
<sst xmlns="http://schemas.openxmlformats.org/spreadsheetml/2006/main" count="7504" uniqueCount="1314">
  <si>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</si>
  <si>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Приложение №1</t>
  </si>
  <si>
    <t>Наименование источников финансирования дефицита бюджета</t>
  </si>
  <si>
    <t>90  00  00  00  00  0000  000</t>
  </si>
  <si>
    <t>Источники финансирования дефицита бюджетов - всего</t>
  </si>
  <si>
    <t>01  00  00  00  00  0000  000</t>
  </si>
  <si>
    <t>ИСТОЧНИКИ ВНУТРЕННЕГО ФИНАНСИРОВАНИЯ ДЕФИЦИТОВ  БЮДЖЕТОВ</t>
  </si>
  <si>
    <t>01  03  00  00  00  0000  000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</si>
  <si>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</si>
  <si>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</si>
  <si>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</si>
  <si>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</si>
  <si>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</si>
  <si>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</si>
  <si>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</si>
  <si>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 бюджетов</t>
  </si>
  <si>
    <t>01  05  02  01  05  0000  510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</si>
  <si>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</si>
  <si>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</si>
  <si>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</si>
  <si>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</si>
  <si>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</si>
  <si>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 бюджетов</t>
  </si>
  <si>
    <t>01  05  02  01  05  0000  610</t>
  </si>
  <si>
    <t>( в редакции решения Представительного  собрания Глушковского района Курской области</t>
  </si>
  <si>
    <t>01 02 00 00 05 0000 710</t>
  </si>
  <si>
    <t>01 02 00 00 00 0000 800</t>
  </si>
  <si>
    <t>01 02 00 00 05 0000 810</t>
  </si>
  <si>
    <t>( в редакции решения Представительного Собрания Глушковского района Курской области от "_30_" августа 2012 года № )</t>
  </si>
  <si>
    <t>( в редакции решения Представительного Собрания Глушковского района Курской области от "_30_" августа  2012 года № )</t>
  </si>
  <si>
    <t xml:space="preserve">                                    от "26"  сентября  2012г. № ___</t>
  </si>
  <si>
    <t>Местные бюджеты</t>
  </si>
  <si>
    <t>Поселок Глушково</t>
  </si>
  <si>
    <t>Поселок Теткино</t>
  </si>
  <si>
    <t>Алексеевский сельсовет</t>
  </si>
  <si>
    <t>Веселовский сельсовет</t>
  </si>
  <si>
    <t>Званновский сельсовет</t>
  </si>
  <si>
    <t>Карыжский сельсовет</t>
  </si>
  <si>
    <t>Кобыльской сельсовет</t>
  </si>
  <si>
    <t>Коровяковский сельсовет</t>
  </si>
  <si>
    <t>Кульбакинский сельсовет</t>
  </si>
  <si>
    <t>Марковский сельсовет</t>
  </si>
  <si>
    <t>Нижне-Мордокский сельсовет</t>
  </si>
  <si>
    <t>Поповолежачанский сельсовет</t>
  </si>
  <si>
    <t>Сухиновский сельсовет</t>
  </si>
  <si>
    <t>к решению Представительного собрания</t>
  </si>
  <si>
    <t xml:space="preserve">Глушковского района Курской области </t>
  </si>
  <si>
    <t xml:space="preserve">Программа муниципальных гарантий   </t>
  </si>
  <si>
    <t>Наименование кредитора</t>
  </si>
  <si>
    <t>Всего</t>
  </si>
  <si>
    <t>За счет источников финансирования дефицита бюджета</t>
  </si>
  <si>
    <t>01  06  00  00  00  0000  000</t>
  </si>
  <si>
    <t>Иные  источники внутреннего финансирования дефицита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</si>
  <si>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</si>
  <si>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</si>
  <si>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</si>
  <si>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 кредитов, предоставленных внутри страны  в валюте Российской Федерации</t>
  </si>
  <si>
    <t>01  06  05  02  05  0000  640</t>
  </si>
  <si>
    <t>01  06  05  00  00  0000  500</t>
  </si>
  <si>
    <t>Предоставление бюджетных кредитов внутри страны в валюте Российской Федерации</t>
  </si>
  <si>
    <t>01  06  05  02  05  0000  540</t>
  </si>
  <si>
    <t>01 02 00 00 00 0000 700</t>
  </si>
  <si>
    <t xml:space="preserve">Кредиты кредитных  организаций в валюте Российской Федерации </t>
  </si>
  <si>
    <t>01 02 00 00 00 0000 000</t>
  </si>
  <si>
    <t>Получение  кредитов  от кредитных организаций в валюте Российской Федерации</t>
  </si>
  <si>
    <t>Получение  кредитов  от кредитных организаций бюджетами муниципальных районов в валюте Российской Федерации</t>
  </si>
  <si>
    <t>Государственные ценные бумаги</t>
  </si>
  <si>
    <t xml:space="preserve">к решению Представительного собрания </t>
  </si>
  <si>
    <t xml:space="preserve">Глушковского района  Курской области </t>
  </si>
  <si>
    <t>№ п/п</t>
  </si>
  <si>
    <t>Итого</t>
  </si>
  <si>
    <t xml:space="preserve">Программа муниципальных внутренних заимствований   </t>
  </si>
  <si>
    <t>1. Привлечение внутренних заимствований</t>
  </si>
  <si>
    <t>Виды заимствований</t>
  </si>
  <si>
    <t>1.</t>
  </si>
  <si>
    <t>2.</t>
  </si>
  <si>
    <t>Бюджетные кредиты от других бюджетов бюджетной системы Российской Федерации</t>
  </si>
  <si>
    <t>3.</t>
  </si>
  <si>
    <t>Кредиты кредитных организаций</t>
  </si>
  <si>
    <t>2. Погашение внутренних заимствований</t>
  </si>
  <si>
    <t>Объем погашения средств в 2009 году (тыс.руб)</t>
  </si>
  <si>
    <t>Код бюджетной классификации Российской Федерации</t>
  </si>
  <si>
    <t>Увеличение прочих остатков денежных средств  бюджетов муниципальных районов</t>
  </si>
  <si>
    <t>Погашение кредитов, предоставленных  кредитными организациями в валюте Российской Федерации</t>
  </si>
  <si>
    <t>Погашение бюджетами муниципальных районов кредитов  от кредитных организаций в валюте Российской Федерации</t>
  </si>
  <si>
    <t xml:space="preserve">  </t>
  </si>
  <si>
    <t xml:space="preserve"> источники финансирования дефицита бюджета муниципального района "Глушковский  район" </t>
  </si>
  <si>
    <t>01  03  01  00  00  0000  700</t>
  </si>
  <si>
    <t>01  03  01  00  05  0000  710</t>
  </si>
  <si>
    <t>01  03  01  00  00  0000  800</t>
  </si>
  <si>
    <t>01  03  01  00  05  0000  810</t>
  </si>
  <si>
    <t>01  06  05  02  05  5003  540</t>
  </si>
  <si>
    <t xml:space="preserve">                                                                                                                                    к решению Представительного  собрания </t>
  </si>
  <si>
    <t xml:space="preserve">                                                                                                                                           Глушковского района Курской области</t>
  </si>
  <si>
    <t>рублей</t>
  </si>
  <si>
    <t>Объем бюджетных ассигнований на исполнение гарантий по возможным гарантийным случаям,  рублей</t>
  </si>
  <si>
    <t>01  03  01  00  05  5000  810</t>
  </si>
  <si>
    <t>Бюджетные  кредиты,  представленные  для частичного покрытия дефицитов бюджетов муниципальных районов</t>
  </si>
  <si>
    <t>Бюджетные кредиты, предоставленные для частичного покрытия дефицитов бюджетов муниципальных  районов, возврат которых осуществляется  муниципальными районами.</t>
  </si>
  <si>
    <t>Возврат бюджетных  кредитов, предоставленных  другим бюджетам бюджетной системы   Российской Федерации из бюджета муниципального района  в валюте Российской Федерации</t>
  </si>
  <si>
    <t>01  06  05  02  05  5003   640</t>
  </si>
  <si>
    <t xml:space="preserve">Бюджетные кредиты, предоставленные для частичного покрытия  дефицитов бюджетов муниципальных образований, возврат которых осуществляется муниципальными образованиями </t>
  </si>
  <si>
    <t>Предоставление бюджетных кредитов другим бюджетам бюджетной системы Российской Федерации  из бюджетов муниципальных районов в валюте Российской Федерации</t>
  </si>
  <si>
    <t>Бюджетные кредиты, предоставленные для частичного  покрытия дефицитов  бюджетов муниципальных образований, возврат котрых осуществляется муниципальными образованиями</t>
  </si>
  <si>
    <t>Получение бюжетных кредитов  для частичного покрытия дефицита бюджета муниципального района  в валюте Российской Федерации</t>
  </si>
  <si>
    <t xml:space="preserve">01  03  01  00  05 5003  710 </t>
  </si>
  <si>
    <t>01  03  01  00  05  5003   810</t>
  </si>
  <si>
    <t>Виды  долговых обязательств</t>
  </si>
  <si>
    <t>Предельный срок  погашения  долговых обязательств</t>
  </si>
  <si>
    <t>Бюджетные кредиты от других бюджетов бюджетной системы Российской Федерации, в том числе:</t>
  </si>
  <si>
    <t>бюджетные кредиты на частичное покрытие дефицита бюджета муниципального района</t>
  </si>
  <si>
    <t>-</t>
  </si>
  <si>
    <t>Виды долговых обязательств</t>
  </si>
  <si>
    <t>Предельный срок погашения  долговых обязательств</t>
  </si>
  <si>
    <t>Направление (цель) гарантирования</t>
  </si>
  <si>
    <t>Объем гарантий, рублей</t>
  </si>
  <si>
    <t>Наименование принципиала</t>
  </si>
  <si>
    <t>Наличие ( отсутствие ) права регрессного требования</t>
  </si>
  <si>
    <t>Срок  действия гарантии</t>
  </si>
  <si>
    <t>Исполнение муниципальных гарантий Глушковского района Курской области</t>
  </si>
  <si>
    <t>За счет источников финансирования дефицита  районного  бюджета</t>
  </si>
  <si>
    <t>За счет расходов районного бюджета</t>
  </si>
  <si>
    <t>Наличие (отсутствие)  права регрессного требования</t>
  </si>
  <si>
    <t xml:space="preserve">Исполнение муниципальных гарантий Глушковского района Курской области </t>
  </si>
  <si>
    <t>За счет расходов  районного бюджета</t>
  </si>
  <si>
    <t>Объем привлечения средств в 2024 году (рублей)</t>
  </si>
  <si>
    <t>2024 год</t>
  </si>
  <si>
    <t>2025 год</t>
  </si>
  <si>
    <t xml:space="preserve"> Приложение № 6</t>
  </si>
  <si>
    <t xml:space="preserve"> Приложение № 7</t>
  </si>
  <si>
    <t xml:space="preserve"> Приложение № 8</t>
  </si>
  <si>
    <t>Объем привлечения средств в 2025 году (рублей)</t>
  </si>
  <si>
    <t>Объем погашения средств в 2025 году (рублей)</t>
  </si>
  <si>
    <t>Приложение №9</t>
  </si>
  <si>
    <t>Приложение №10</t>
  </si>
  <si>
    <t>1.2 Общий объем бюджетных ассигнований, предусмотренных на исполнение муниципальных гарантий  Глушковского района Курской области по возможным гарантийным случаям, в 2024-2025 годах</t>
  </si>
  <si>
    <t>Получение бюджетных кредитов из других бюджетов бюджетной системы Российской  Федерации в валюте Российской Федерации</t>
  </si>
  <si>
    <t>Бюджетные кредиты из других бюджетов бюджетной  системы Российской Федерации</t>
  </si>
  <si>
    <t>Получение   кредитов из других бюджетов бюджетной системы  Российской Федерации бюджетами муниципальных районов в валюте Российской  Федерации</t>
  </si>
  <si>
    <t>Курской области  на 2024 год и на плановый период 2025 и 2026 годов</t>
  </si>
  <si>
    <t>2024</t>
  </si>
  <si>
    <t>"О бюджете  муниципального района "Глушковский район" Курской области на 2024 год  и плановый период 2025-2026 годов"</t>
  </si>
  <si>
    <t>Распределение дотаций на выравнивание бюджетной обеспеченности поселений Глушковского района  на 2024 год и плановый период 2025 и 2026 годов</t>
  </si>
  <si>
    <t>2026  год</t>
  </si>
  <si>
    <t>"О бюджете  муниципального района "Глушковский район" Курской области на 2024 год и плановый  период 2025-2026 годов"</t>
  </si>
  <si>
    <t>Программа муниципальных внутренних  заимствований  муниципального района "Глушковский район"  Курской области  на 2024 год</t>
  </si>
  <si>
    <t>Объем погашения средств в 2024  году (рублей)</t>
  </si>
  <si>
    <t>"О бюджете  муниципального района "Глушковский район" Курской области на 2024 год и плановый период 2025-2026 годов"</t>
  </si>
  <si>
    <t>муниципального района "Глушковский район"  Курской области  на плановый период 2025-2026 годов</t>
  </si>
  <si>
    <t>Объем привлечения средств в 2026 году (рублей)</t>
  </si>
  <si>
    <t>Объем погашения средств в 2026 году (рублей)</t>
  </si>
  <si>
    <t>"О бюджете муниципального района "Глушковский район" Курской области     на   2024 год и плановый период 2025-2026 годов"</t>
  </si>
  <si>
    <t>муниципального района "Глушковского район" Курской области на 2024 год</t>
  </si>
  <si>
    <t>1.1 Перечень подлежащих предоставлению муниципальных гарантий в 2024 году</t>
  </si>
  <si>
    <t>1.2 Общий объем бюджетных ассигнований, предусмотренных на исполнение муниципальных гарантий Глушковского района Курской области по возможным гарантийным случаям, в 2024 году</t>
  </si>
  <si>
    <t>муниципального района "Глушковского район" Курской области на  плановый период 2025-2026 годов</t>
  </si>
  <si>
    <t>1.1 Перечень подлежащих предоставлению муниципальных гарантий в 2025-2026 годах</t>
  </si>
  <si>
    <t>Объем бюджетных ассигнований на исполнение гарантий по возможным гарантийным случаям в 2025 году,  рублей</t>
  </si>
  <si>
    <t>Объем бюджетных ассигнований на исполнение гарантий по возможным гарантийным случаям в 2026 году, рублей</t>
  </si>
  <si>
    <t>Погашение бюджетных кредитов, полученных из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</si>
  <si>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из других бюджетов бюджетной системы  Российской Федерации в валюте Российской  Федерации</t>
  </si>
  <si>
    <t>"О бюджете  муниципального района "Глушковский  район" Курской области на 2024 год и плановый период 2025 и 2026 годов " от "19"  декабря  2023 года №27</t>
  </si>
  <si>
    <t>от "19"  декабря   2023 г. №27</t>
  </si>
  <si>
    <t>от "19" декабря  2023  № 27</t>
  </si>
  <si>
    <t>от " 19"  декабря   2023 г. № 27</t>
  </si>
  <si>
    <t>от "19"   декабря   2023 г. № 27</t>
  </si>
  <si>
    <t>Приложение № 3</t>
  </si>
  <si>
    <t xml:space="preserve">к  решению Представительного  собрания Глушковского района Курской области "О  бюджете муниципального района "Глушковский район" Курской области на 2024 год и плановый период 2025 и 2026 г.г." от  19  декабря   2023 г. № 27           </t>
  </si>
  <si>
    <t>( в редакции решения Представительного собрания Глушковского района  Курской области  от           сентября 2023г.  №      )</t>
  </si>
  <si>
    <t xml:space="preserve">Распределение  бюджетных  ассигнований  по разделам, подразделам , целевым статьям   (муниципальным программам и непрограммным направлениям деятельности), группам видов  расходов  классификации расходов                                                                                                               бюджета  муниципального района "Глушковский район"  Курской области </t>
  </si>
  <si>
    <t xml:space="preserve"> Наименование</t>
  </si>
  <si>
    <t>РЗ</t>
  </si>
  <si>
    <t>ПР</t>
  </si>
  <si>
    <t>ЦСР</t>
  </si>
  <si>
    <t>ВР</t>
  </si>
  <si>
    <t>Сумма на 2024 год</t>
  </si>
  <si>
    <t>Сумма на 2025 год</t>
  </si>
  <si>
    <t>Сумма на 2026 год</t>
  </si>
  <si>
    <t>2</t>
  </si>
  <si>
    <t>3</t>
  </si>
  <si>
    <t>4</t>
  </si>
  <si>
    <t>5</t>
  </si>
  <si>
    <t>ВСЕГО РАСХОДОВ</t>
  </si>
  <si>
    <t>Условно утвержденные расходы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</si>
  <si>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</si>
  <si>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</si>
  <si>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</si>
  <si>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</si>
  <si>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</si>
  <si>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</si>
  <si>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</si>
  <si>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</si>
  <si>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</si>
  <si>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</si>
  <si>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</si>
  <si>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</si>
  <si>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</si>
  <si>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</si>
  <si>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</si>
  <si>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</si>
  <si>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Председатель представительного органа муниципального образования</t>
  </si>
  <si>
    <t>75 1 00 00000</t>
  </si>
  <si>
    <t>75 1 00 С1402</t>
  </si>
  <si>
    <t>Аппарат  представительного органа 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</si>
  <si>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</si>
  <si>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</si>
  <si>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</si>
  <si>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</si>
  <si>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</si>
  <si>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01 </t>
  </si>
  <si>
    <t>04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</si>
  <si>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</si>
  <si>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02 0 00 00000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</si>
  <si>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</si>
  <si>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>02 2 00 00000</t>
  </si>
  <si>
    <t>Основное мероприятие "Обеспечение жилыми помещениями детей-сирот и детей, оставшихся без попечения родителей, лиц из их числа"</t>
  </si>
  <si>
    <t>02 2 04 00000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</si>
  <si>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</si>
  <si>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02 2 04 Д0820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</si>
  <si>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</si>
  <si>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>10 0 00 00000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</si>
  <si>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</si>
  <si>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10 1 00 00000</t>
  </si>
  <si>
    <t>Основное мероприятие  "Реализация  установленных  полномочий (функций) муниципального архива"</t>
  </si>
  <si>
    <t>10 1 01 00000</t>
  </si>
  <si>
    <t>Осуществление отдельных государственных полномочий в сфере архивного дела</t>
  </si>
  <si>
    <t>10 1 01 13360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</si>
  <si>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</si>
  <si>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12 0 00 00000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</si>
  <si>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</si>
  <si>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12 2 00 00000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</si>
  <si>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</si>
  <si>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12 2 01 00000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</si>
  <si>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</si>
  <si>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12 2 01 13180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</si>
  <si>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</si>
  <si>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12 2 01 13480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</si>
  <si>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</si>
  <si>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</si>
  <si>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</si>
  <si>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</si>
  <si>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 xml:space="preserve">Осуществление переданных полномочий  от поселений муниципальному району по реализации мероприятий по разработке документов территориального планирования и градостроительного зонирования </t>
  </si>
  <si>
    <t>73 1 00 П1416</t>
  </si>
  <si>
    <t>73 1 00 С1402</t>
  </si>
  <si>
    <t>Социальное обеспечение и иные выплаты населению</t>
  </si>
  <si>
    <t>300</t>
  </si>
  <si>
    <t>Непрограммная деятельность органов местного самоуправления</t>
  </si>
  <si>
    <t>77 0 00 00000</t>
  </si>
  <si>
    <t>Обеспечение деятельности и выполнение функций  органов местного самоуправления</t>
  </si>
  <si>
    <t>77 1 00 00000</t>
  </si>
  <si>
    <t>Осуществление отдельных государственных полномочий в сфере трудовых отношений</t>
  </si>
  <si>
    <t>77 1 00 13310</t>
  </si>
  <si>
    <t>Закупка товаров, работ и услуг для государственных (муниципальных) нужд</t>
  </si>
  <si>
    <t>Непрограммные расходы органов местного самоуправления</t>
  </si>
  <si>
    <t>77 2 00 00000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</si>
  <si>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</si>
  <si>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</si>
  <si>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</si>
  <si>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</si>
  <si>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</si>
  <si>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77 2 00 51200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</si>
  <si>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</si>
  <si>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</si>
  <si>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</si>
  <si>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</si>
  <si>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 муниципального образования</t>
  </si>
  <si>
    <t>74 1 00 00000</t>
  </si>
  <si>
    <t>74 1 00 С1402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</si>
  <si>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</si>
  <si>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</si>
  <si>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</si>
  <si>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77 3 00 00000</t>
  </si>
  <si>
    <t>Подготовка и проведение выборов</t>
  </si>
  <si>
    <t>77 3 00С1441</t>
  </si>
  <si>
    <t>Иные бюджетные ассигнования</t>
  </si>
  <si>
    <t>800</t>
  </si>
  <si>
    <t>Резервные фонды</t>
  </si>
  <si>
    <t>11</t>
  </si>
  <si>
    <t>Резервные фонды органов местного самоуправления</t>
  </si>
  <si>
    <t>78 0 00 00000</t>
  </si>
  <si>
    <t/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</si>
  <si>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</si>
  <si>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</si>
  <si>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</si>
  <si>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</si>
  <si>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</si>
  <si>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</si>
  <si>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</si>
  <si>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02 1 00 00000</t>
  </si>
  <si>
    <t>Основное мероприятие "Осуществление мер по  улучшению положения и качества жизни граждан"</t>
  </si>
  <si>
    <t>02 1 02 00000</t>
  </si>
  <si>
    <t>Прочие мероприятия в области социальной политики</t>
  </si>
  <si>
    <t>02 1 02 С1475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</si>
  <si>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</si>
  <si>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>02 2 02 00000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</si>
  <si>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</si>
  <si>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02 2  02 13603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</si>
  <si>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</si>
  <si>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</si>
  <si>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Мероприятия в области улучшения демографической ситуации, совершенствования социальной поддержки семьи и детей</t>
  </si>
  <si>
    <t>02 2 03 С1474</t>
  </si>
  <si>
    <t>Муниципальная программа Глушковского района Курской области "Развитие образования в Глушковском районе Курской области"</t>
  </si>
  <si>
    <t>03 0 00 00000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</si>
  <si>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</si>
  <si>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</si>
  <si>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"Сопровождение реализации отдельных мероприятий  муниципальной программы"</t>
  </si>
  <si>
    <t>03 4 02 00000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</si>
  <si>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</si>
  <si>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03 4 02 13120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</si>
  <si>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области»</t>
  </si>
  <si>
    <t>05 0 00 00000</t>
  </si>
  <si>
    <t>Подпрограмма "Энергосбережение в муниципальном образовании "Глушковский район" Курской области"  муниципальной программы Глушковского района Курской области «Энергосбережение и повышение энергетической эффективности в Глушковском районе Курской области»</t>
  </si>
  <si>
    <t>05 1 00 00000</t>
  </si>
  <si>
    <t>Основное мероприятие: "Повышение энергетической эффективности"</t>
  </si>
  <si>
    <t>05 1 01 00000</t>
  </si>
  <si>
    <t>Мероприятия в области энергосбережения</t>
  </si>
  <si>
    <t>05 1 01 С1434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</si>
  <si>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</si>
  <si>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09 0 00 00000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</si>
  <si>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</si>
  <si>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09 1 00 00000</t>
  </si>
  <si>
    <t>Основное мероприятие "Развитие и обеспечение деятельности муниципальной службы"</t>
  </si>
  <si>
    <t>09 1 01 00000</t>
  </si>
  <si>
    <t>Мероприятия, направленные на развитие муниципальной службы</t>
  </si>
  <si>
    <t>09 1 01 С1437</t>
  </si>
  <si>
    <t>Реализация мероприятий по формированию и содержанию муниципального архива</t>
  </si>
  <si>
    <t>10 1 01 С1438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</si>
  <si>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</si>
  <si>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11 0 00 00000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</si>
  <si>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</si>
  <si>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11 3 00 00000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</si>
  <si>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</si>
  <si>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</si>
  <si>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</si>
  <si>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</si>
  <si>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</si>
  <si>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</si>
  <si>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</si>
  <si>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12 1 01 00000</t>
  </si>
  <si>
    <t>Реализация мероприятий направленных на обеспечение правопорядка на территории муниципального образования</t>
  </si>
  <si>
    <t>12 1 01 С1435</t>
  </si>
  <si>
    <t>Создание комплексной системы мер по профилактике потребления наркотиков и организации лечения алкоголезависимых граждан</t>
  </si>
  <si>
    <t>12 1 01 С1486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</si>
  <si>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</si>
  <si>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</si>
  <si>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</si>
  <si>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20 1 00 00000</t>
  </si>
  <si>
    <t>Основное мероприятие " Популяризация муниципальных услуг в электронном виде"</t>
  </si>
  <si>
    <t>20 1 02 00000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</si>
  <si>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</si>
  <si>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</si>
  <si>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</si>
  <si>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20 2 00 00000</t>
  </si>
  <si>
    <t>Основное мероприятие " Безопасность в информационном обществе"</t>
  </si>
  <si>
    <t>20 2 01 00000</t>
  </si>
  <si>
    <t>Выполнение других (прочих) обязательств органа местного самоуправления</t>
  </si>
  <si>
    <t>20 2 01 С1404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</si>
  <si>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</si>
  <si>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</si>
  <si>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</si>
  <si>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</si>
  <si>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муниципального образования</t>
  </si>
  <si>
    <t>76 1 00 00000</t>
  </si>
  <si>
    <t>76 1 00 С1404</t>
  </si>
  <si>
    <t>Осуществление переданных полномочий Российской Федерации на государственную регистрацию актов гражданского состояния</t>
  </si>
  <si>
    <t>77 1 00 59300</t>
  </si>
  <si>
    <t>Расходы на обеспечение деятельности (оказание услуг) муниципальных учреждений</t>
  </si>
  <si>
    <t>77 2 00 С1401</t>
  </si>
  <si>
    <t>Реализация мероприятий по распространению официальной информации</t>
  </si>
  <si>
    <t>77 2 00 С1439</t>
  </si>
  <si>
    <t>Непрограммные расходы на обеспечение деятельности муниципальных казенных учреждений</t>
  </si>
  <si>
    <t>79 0 00 00000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</si>
  <si>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</si>
  <si>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79 1 00 00000</t>
  </si>
  <si>
    <t>79 1 00 С1401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</si>
  <si>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</si>
  <si>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</si>
  <si>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</si>
  <si>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</si>
  <si>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</si>
  <si>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</si>
  <si>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</si>
  <si>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</si>
  <si>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</si>
  <si>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</si>
  <si>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</si>
  <si>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</si>
  <si>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Основное мероприятие "Приобретение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</si>
  <si>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13 1 02 00000</t>
  </si>
  <si>
    <t>13 1 02 С1460</t>
  </si>
  <si>
    <t>Основное мероприятие "Создание на территории Курской области комплексной системы обеспечения безопасности жизнедеятельности населения Курской области АПК "Безопасный город".</t>
  </si>
  <si>
    <t>13 1 04 00000</t>
  </si>
  <si>
    <t>Создание (развитие) муниципальных автоматизированных систем централизованного оповещения населения Глушковского района Курской области</t>
  </si>
  <si>
    <t>13 1 04 12821</t>
  </si>
  <si>
    <t>Реализация мероприятий по созданию (развитию) муниципальных автоматизированных систем централизованного оповещения населения Глушковского района Курской области</t>
  </si>
  <si>
    <t>13 1 04 S2821</t>
  </si>
  <si>
    <t>13 1 04 С1460</t>
  </si>
  <si>
    <t>Национальная экономика</t>
  </si>
  <si>
    <t>Транспорт</t>
  </si>
  <si>
    <t>08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</si>
  <si>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</si>
  <si>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11 2 00 00000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</si>
  <si>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</si>
  <si>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11 2 01 00000</t>
  </si>
  <si>
    <t>Отдельные мероприятия по другим видам транспорта</t>
  </si>
  <si>
    <t>11 2 01 С1426</t>
  </si>
  <si>
    <t>Дорожное хозяйство (дорожные фонды)</t>
  </si>
  <si>
    <t>09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</si>
  <si>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</si>
  <si>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11 1 00 00000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</si>
  <si>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</si>
  <si>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11 1 01 00000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</si>
  <si>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</si>
  <si>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11 1 01 13390</t>
  </si>
  <si>
    <t>Реализация проекта "Народный бюджет"</t>
  </si>
  <si>
    <t>11 1 01 14000</t>
  </si>
  <si>
    <t xml:space="preserve">Ремонт автодороги в с. Званное по ул. Набережная  Глушковского района Курской области в рамках проекта "Народный бюджет" </t>
  </si>
  <si>
    <t>11 1 01 14001</t>
  </si>
  <si>
    <t>Мероприятия по реализации проекта "Народный бюджет"</t>
  </si>
  <si>
    <t>11 1 01 S4000</t>
  </si>
  <si>
    <t>11 1 01 S4001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</si>
  <si>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</si>
  <si>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01 S3390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</si>
  <si>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</si>
  <si>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</si>
  <si>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</si>
  <si>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</si>
  <si>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 xml:space="preserve">Строительство (реконструкция) автомобильных дорог общего пользования местного значения </t>
  </si>
  <si>
    <t>11 1 02 С1423</t>
  </si>
  <si>
    <t>Капитальные вложения в объекты государственной (муниципальной) собственности</t>
  </si>
  <si>
    <t>400</t>
  </si>
  <si>
    <t xml:space="preserve">Cтроительство (реконструкция), капитальный ремонт, ремонт и содержание автомобильных дорог общего пользования местного значения                                                      </t>
  </si>
  <si>
    <t>11 1 02 13390</t>
  </si>
  <si>
    <t xml:space="preserve"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 </t>
  </si>
  <si>
    <t>11 1 02 S3390</t>
  </si>
  <si>
    <t>11 1 02 14000</t>
  </si>
  <si>
    <t>Строительство участков автомобильных дорог по ул.Комсомольская (кадастровый номер 46:03:080108:250, протяженностью 164 м), ул.8-е Марта (кадастровый номер 46:03:000000:995, протяженностью 74+,-10м)), Пролетарская (кадастровый номер 46:03:080108:112, протяженностью 74+,-10м) в с.Кобылки Глушковского района Курской области в рамках программы Народный бюджет</t>
  </si>
  <si>
    <t>11 1 02 14001</t>
  </si>
  <si>
    <t>11 1 02 S4000</t>
  </si>
  <si>
    <t>11 1 02 S4001</t>
  </si>
  <si>
    <t>Другие вопросы в области национальной экономики</t>
  </si>
  <si>
    <t>12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</si>
  <si>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</si>
  <si>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04 0 00 00000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</si>
  <si>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</si>
  <si>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04 1 00 00000</t>
  </si>
  <si>
    <t>Основное мероприятие "Проведение муниципальной политики в области имущественных и земельных отношений на территории Глушковского района Курской области "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</si>
  <si>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</si>
  <si>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</si>
  <si>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</si>
  <si>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</si>
  <si>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04 1 01 С1468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</si>
  <si>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</si>
  <si>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</si>
  <si>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Основное мероприятие "Энергосбережение и повышение энергетической эффективности в бюджетной сфере"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</si>
  <si>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</si>
  <si>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>07 0 00 00000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</si>
  <si>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</si>
  <si>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07 2 00 00000</t>
  </si>
  <si>
    <t>Основное мероприятие "Корректировка ПЗЗ, генеральных планов, координирование границ муниципальных образований "</t>
  </si>
  <si>
    <t>07 2 05 00000</t>
  </si>
  <si>
    <t xml:space="preserve">Организация мероприятий по внесению в  Единый государственный реестр недвижимости сведений о границах муниципальных образований, границах населенных пунктов и границах территориальных зон
</t>
  </si>
  <si>
    <t>07 2 05 13600</t>
  </si>
  <si>
    <t>Мероприятия по  разработке документов территориального планирования и градостроительного зонирования</t>
  </si>
  <si>
    <t>07 2 05 С1416</t>
  </si>
  <si>
    <t xml:space="preserve">Мероприятия по внесению в  Единый государственный реестр недвижимости сведений о границах муниципальных образований, границах населенных пунктов и границах территориальных зон
</t>
  </si>
  <si>
    <t>07 2 05 S3600</t>
  </si>
  <si>
    <t>Осуществление мероприятий  по  разработке документов территориального планирования и градостроительного зонирования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</si>
  <si>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</si>
  <si>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15 0 00 00000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</si>
  <si>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</si>
  <si>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15 1 00 00000</t>
  </si>
  <si>
    <t>Основное мероприятие " Формирование благоприятного инвестиционного климата"</t>
  </si>
  <si>
    <t>15 1 01 00000</t>
  </si>
  <si>
    <t>Создание благоприятных условий для привлечения инвестиций в экономику муниципального образования</t>
  </si>
  <si>
    <t>15 1 01 С1480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</si>
  <si>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</si>
  <si>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>15 2 00 00000</t>
  </si>
  <si>
    <t>Основное мероприятие " Формирование благоприятных условий для развития малого и среднего предпринимательства на территории муниципального образования"</t>
  </si>
  <si>
    <t>15 2 01 00000</t>
  </si>
  <si>
    <t>Обеспечение условий для развития малого и среднего предпринимательства на территории муниципального образования</t>
  </si>
  <si>
    <t>15 2 01 С1405</t>
  </si>
  <si>
    <t>Жилищно-коммунальное хозяйство</t>
  </si>
  <si>
    <t>Жилищное хозяйство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</si>
  <si>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</si>
  <si>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</si>
  <si>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07 2 00  00000</t>
  </si>
  <si>
    <t>Основное мероприятие "Создание муниципального маневренного жилищного фонда"</t>
  </si>
  <si>
    <t>07 2 07  00000</t>
  </si>
  <si>
    <t>07 2 07  С1467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</si>
  <si>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</si>
  <si>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</si>
  <si>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06 0 00 00000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</si>
  <si>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</si>
  <si>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06 1 00 000000</t>
  </si>
  <si>
    <t>Основное мероприятие "Обеспечение населения экологически чистой питьевой водой"</t>
  </si>
  <si>
    <t>06 1 01 000000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</si>
  <si>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</si>
  <si>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</si>
  <si>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</si>
  <si>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</si>
  <si>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Осуществление полномочий по обеспечению населения экологически чистой питьевой водой</t>
  </si>
  <si>
    <t>06 1 01 С1427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</si>
  <si>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</si>
  <si>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</si>
  <si>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>Развитие социальной и инженерной инфраструктуры муниципальных образований Курской области</t>
  </si>
  <si>
    <t>07 2 02 11500</t>
  </si>
  <si>
    <t>Межбюджетные трансферты</t>
  </si>
  <si>
    <t>500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</si>
  <si>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</si>
  <si>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07 2 02 S1500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</si>
  <si>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</si>
  <si>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07 2 03 00000</t>
  </si>
  <si>
    <t>Создание условий для развития социальной и инженерной инфраструктуры муниципальных образований</t>
  </si>
  <si>
    <t>07 2 03 С1417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</si>
  <si>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</si>
  <si>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</si>
  <si>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Основное мероприятие "Проведение эффективной муниципальной политики по повышению качества предоставляемых  коммунальных услуг  населению "</t>
  </si>
  <si>
    <t>07 2 06 00000</t>
  </si>
  <si>
    <t>Мероприятия в области коммунального хозяйства</t>
  </si>
  <si>
    <t>07 2 06 С1431</t>
  </si>
  <si>
    <t>Охрана окружающей среды</t>
  </si>
  <si>
    <t>Другие вопросы в области охраны окружающей среды</t>
  </si>
  <si>
    <t>Основное мероприятие"Ликвидация накопленного экологического ущерба"</t>
  </si>
  <si>
    <t>06 1 02 000000</t>
  </si>
  <si>
    <t>Мероприятия по обеспечению охраны окружающей среды</t>
  </si>
  <si>
    <t>06 1 02 С 1469</t>
  </si>
  <si>
    <t>Образование</t>
  </si>
  <si>
    <t>Дошкольное образование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</si>
  <si>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</si>
  <si>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03 1 00 00000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</si>
  <si>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</si>
  <si>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</si>
  <si>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</si>
  <si>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</si>
  <si>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>Проведение капитального ремонта муниципальных образовательных организаций</t>
  </si>
  <si>
    <t>03 1 01 13050</t>
  </si>
  <si>
    <t>Обеспечение проведения капитального ремонта муниципальных образовательных организаций</t>
  </si>
  <si>
    <t>03 1 01 S3050</t>
  </si>
  <si>
    <t>03 1 01 C1401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</si>
  <si>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</si>
  <si>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</si>
  <si>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 xml:space="preserve">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образовательных организаций </t>
  </si>
  <si>
    <t>03 1 03 12799</t>
  </si>
  <si>
    <t>Общее образование</t>
  </si>
  <si>
    <t>Основное мероприятие "Региональный проект "Современная школа"</t>
  </si>
  <si>
    <t>03 1 E1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</si>
  <si>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</si>
  <si>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 1 E1 51723</t>
  </si>
  <si>
    <t>Региональный проект "Успех каждого ребенка"</t>
  </si>
  <si>
    <t>03 1 Е2 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</si>
  <si>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</si>
  <si>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 1 Е2 50980</t>
  </si>
  <si>
    <t>Основное мероприятие "Региональный проект "Цифровая образовательная среда"</t>
  </si>
  <si>
    <t>03 1 Е4 00000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</si>
  <si>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материально-технической базой для внедрения цифровой образовательной среды)</t>
  </si>
  <si>
    <t>03 1 Е4  52132</t>
  </si>
  <si>
    <t xml:space="preserve">Проведение мероприятий по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</si>
  <si>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 xml:space="preserve">03 1 ЕВ 51790 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</si>
  <si>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</si>
  <si>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</si>
  <si>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</si>
  <si>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1 02 L3040</t>
  </si>
  <si>
    <t>Мероприятия по модернизации школьных систем образования</t>
  </si>
  <si>
    <t>03 1 02 L7500</t>
  </si>
  <si>
    <t xml:space="preserve"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</si>
  <si>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>03 1 02 R3030</t>
  </si>
  <si>
    <t>Расходы по приобретение мебели для муниципальных общеобразовательных учреждений, расположенных в сельских населенных пунктах (рабочих поселках, поселках городского типа)</t>
  </si>
  <si>
    <t>03 1 02 S2762</t>
  </si>
  <si>
    <t>Мероприятия, направленные на предотвращение распространения новой короновирусной инфекции в муниципальных общеобразовательных организациях</t>
  </si>
  <si>
    <t>03 1 02 S2763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</si>
  <si>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</si>
  <si>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03 1 02 13040</t>
  </si>
  <si>
    <t>03 1 02 13050</t>
  </si>
  <si>
    <t>03 1 02 S3050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</si>
  <si>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</si>
  <si>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03 1 02 13080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</si>
  <si>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</si>
  <si>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03 1 02 S3080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</si>
  <si>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</si>
  <si>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03 1 02 13090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</si>
  <si>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</si>
  <si>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1 02 S3090</t>
  </si>
  <si>
    <t>03 1 02 C1401</t>
  </si>
  <si>
    <t>Мероприятия в области образования</t>
  </si>
  <si>
    <t>03 1 02 C1447</t>
  </si>
  <si>
    <t>Осуществление отдельного государственного полномочия по финансовому обеспечению расходов по оплате стоимости аренды жилых помещений, предоставляемых в соответствии с законодательством Курской области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</t>
  </si>
  <si>
    <t>03 1 03 12800</t>
  </si>
  <si>
    <t>Предоставление мер социальной поддержки работникам муниципальных образовательных организаций</t>
  </si>
  <si>
    <t>03 1 03 13060</t>
  </si>
  <si>
    <t>Обеспечение предоставления мер социальной поддержки работникам муниципальных образовательных организаций</t>
  </si>
  <si>
    <t>03 1 03 S3060</t>
  </si>
  <si>
    <t>Подпрограмма  «Создание новых мест в общеобразовательных организациях Глушковского района Курской     области в соответствии с прогнозируемой потребностью и современными условиями обучения» муниципальной программы Глушковского района Курской области "Развитие образования в Глушковском районе Курской области"</t>
  </si>
  <si>
    <t>03 5 00 00000</t>
  </si>
  <si>
    <t>Основное мероприятие  «Введение новых мест в      образовательных организациях Курской области, в том числе путем строительства объектов инфраструктуры общего образования»</t>
  </si>
  <si>
    <t>03 5 01 00000</t>
  </si>
  <si>
    <t>03 5 01 С1401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</si>
  <si>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</si>
  <si>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11 3 04 00000</t>
  </si>
  <si>
    <t>11 3 04 С1459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</si>
  <si>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</si>
  <si>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17 0 00 00000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</si>
  <si>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</si>
  <si>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17 1 00 00000</t>
  </si>
  <si>
    <t>Основное мероприятие "Реализация мероприятий активной политики занятости населения"</t>
  </si>
  <si>
    <t>17 1 01 00000</t>
  </si>
  <si>
    <t>Развитие рынка труда, повышение эффективности занятости населения</t>
  </si>
  <si>
    <t>17 1 01 С1436</t>
  </si>
  <si>
    <t>Дополнительное образование детей</t>
  </si>
  <si>
    <t>Подпрограмма "Реализация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</si>
  <si>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</si>
  <si>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</si>
  <si>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</si>
  <si>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</si>
  <si>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</si>
  <si>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</si>
  <si>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"Социальная поддержка работников организаций дополнительного образования"</t>
  </si>
  <si>
    <t>03 2 04 00000</t>
  </si>
  <si>
    <t>03 2 04 12799</t>
  </si>
  <si>
    <t>03 2 04 12800</t>
  </si>
  <si>
    <t xml:space="preserve">Молодежная политика  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</si>
  <si>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</si>
  <si>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08 0 00 00000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</si>
  <si>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</si>
  <si>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08 1 00 00000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</si>
  <si>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</si>
  <si>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08 1 01 00000</t>
  </si>
  <si>
    <t>Реализация мероприятий в сфере молодежной политики</t>
  </si>
  <si>
    <t>08 1 01 С1414</t>
  </si>
  <si>
    <t>Другие вопросы в области образования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</si>
  <si>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</si>
  <si>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</si>
  <si>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</si>
  <si>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</si>
  <si>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</si>
  <si>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Основное мероприятие "Организация оздоровления и отдыха детей Глушковского района Курской области"</t>
  </si>
  <si>
    <t>08 3 01 00000</t>
  </si>
  <si>
    <t>Организация отдыха детей в каникулярное время</t>
  </si>
  <si>
    <t>08 3 01 13540</t>
  </si>
  <si>
    <t>Мероприятия, связанные с организацией отдыха детей в каникулярное время</t>
  </si>
  <si>
    <t>08 3 01 S3540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</si>
  <si>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</si>
  <si>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08 3 03 00000</t>
  </si>
  <si>
    <t>Проведение капитального ремонта муниципальных организаций отдыха детей и их оздоровления Курской области</t>
  </si>
  <si>
    <t>08 3 03 10070</t>
  </si>
  <si>
    <t xml:space="preserve">Обеспечение расходных обязательств, связанных с проведением  капитального ремонта муниципальных организаций отдыха детей и их оздоровления  </t>
  </si>
  <si>
    <t>08 3 03 S0070</t>
  </si>
  <si>
    <t>08 3 03 С1401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</si>
  <si>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</si>
  <si>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Культура , кинематография</t>
  </si>
  <si>
    <t xml:space="preserve">Культура </t>
  </si>
  <si>
    <t>Муниципальная программа Глушковского района Курской области "Развитие культуры в Глушковском районе Курской области"</t>
  </si>
  <si>
    <t>01 0 00 00000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</si>
  <si>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</si>
  <si>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О8</t>
  </si>
  <si>
    <t>01 1 00 00000</t>
  </si>
  <si>
    <t>Основное мероприятие "Творческие люди"</t>
  </si>
  <si>
    <t>01 1 А2 00000</t>
  </si>
  <si>
    <t>Поддержка отрасли культуры (государственная поддержка лучших работников сельских учреждений культуры)</t>
  </si>
  <si>
    <t>01 1 А2 55191</t>
  </si>
  <si>
    <t>Поддержка отрасли культуры (государственная поддержка лучших сельских учреждений культуры)</t>
  </si>
  <si>
    <t>01 1 А2 55195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</si>
  <si>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</si>
  <si>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01 1 01 00000</t>
  </si>
  <si>
    <t xml:space="preserve">Заработная  плата и начисления на выплаты по оплате труда работников учреждений культуры муниципальных районов </t>
  </si>
  <si>
    <t>01 1 01 12810</t>
  </si>
  <si>
    <t>Расходы  на заработную плату и начисления на выплаты по оплате труда работников учреждений культуры муниципальных районов (софинансирование)</t>
  </si>
  <si>
    <t>01 1 01 S2810</t>
  </si>
  <si>
    <t>01 1 01 С1401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</si>
  <si>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</si>
  <si>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</si>
  <si>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</si>
  <si>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01 2 00 00000</t>
  </si>
  <si>
    <t>01 2 А2 00000</t>
  </si>
  <si>
    <t>01 2 А2 55191</t>
  </si>
  <si>
    <t>01 2 А2 55195</t>
  </si>
  <si>
    <t>Основное мероприятие "Развитие библиотечного дела в Глушковском районе Курской области"</t>
  </si>
  <si>
    <t>01 2 01 00000</t>
  </si>
  <si>
    <t xml:space="preserve"> 01 2 01 С1401</t>
  </si>
  <si>
    <t>Государственная поддержка лучших работников сельских  учреждений культуры</t>
  </si>
  <si>
    <t>79 1 00 L5191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</si>
  <si>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</si>
  <si>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01 3 00 00000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</si>
  <si>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</si>
  <si>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 xml:space="preserve">01 3 03 00000 </t>
  </si>
  <si>
    <t xml:space="preserve">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учреждений культуры  </t>
  </si>
  <si>
    <t>01 3 03 12802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</si>
  <si>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</si>
  <si>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Здравоохранение</t>
  </si>
  <si>
    <t>Санитарно-эпидемиологическое благополучие</t>
  </si>
  <si>
    <t>Организация мероприятий при   осуществлении деятельности по обращению с животными без владельцев</t>
  </si>
  <si>
    <t>77 2 00 12700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</si>
  <si>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</si>
  <si>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Социальная политика</t>
  </si>
  <si>
    <t>Пенсионное обеспечение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</si>
  <si>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</si>
  <si>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</si>
  <si>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>Основное мероприятие "Предоставление выплат пенсий за выслугу лет, доплат к пенсиям  муниципальных служащих"</t>
  </si>
  <si>
    <t>02 1 03 00000</t>
  </si>
  <si>
    <t xml:space="preserve">Выплата пенсий за выслугу лет и доплат к пенсиям муниципальных служащих </t>
  </si>
  <si>
    <t xml:space="preserve">10 </t>
  </si>
  <si>
    <t>02 1 03 С1445</t>
  </si>
  <si>
    <t>Социальное обеспечение населения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</si>
  <si>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</si>
  <si>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Основное мероприятие "Предоставление социальных выплат и мер социальной поддержки отдельным категориям граждан"</t>
  </si>
  <si>
    <t>02 1 01 00000</t>
  </si>
  <si>
    <t>Обеспечение мер социальной поддержки реабилитированных лиц и лиц, признанных пострадавшими от политических репрессий</t>
  </si>
  <si>
    <t>02 1 01 11170</t>
  </si>
  <si>
    <t>Предоставление социальной поддержки отдельным категориям граждан по обеспечению продовольственными товарами</t>
  </si>
  <si>
    <t>02 1 01 11180</t>
  </si>
  <si>
    <t>Обеспечение  мер  социальной  поддержки  ветеранов  труда и тружеников тыла</t>
  </si>
  <si>
    <t>02 1 01 13140</t>
  </si>
  <si>
    <t xml:space="preserve">Охрана семьи и детства 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</si>
  <si>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</si>
  <si>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</si>
  <si>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</si>
  <si>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Содержание ребенка в семье опекуна и приемной семье, а также вознаграждение, причитающееся приемному родителю</t>
  </si>
  <si>
    <t>02 2 01 13190</t>
  </si>
  <si>
    <t>Муниципальная программа  Глушковского района Курской области "Развитие образования в Глушковском районе Курской области"</t>
  </si>
  <si>
    <t>Выплата компенсации части родительской платы</t>
  </si>
  <si>
    <t>03 1 01 13000</t>
  </si>
  <si>
    <t>Основное мероприятие "Поддержка молодых семей в улучшении жилищных условий на территории Глушковского района Курской области"</t>
  </si>
  <si>
    <t>07 2 01 00000</t>
  </si>
  <si>
    <t>Реализация мероприятий по обеспечению жильем молодых семей</t>
  </si>
  <si>
    <t>07 2 01 L4970</t>
  </si>
  <si>
    <t>Другие вопросы в области социальной политики</t>
  </si>
  <si>
    <t>Подпрограмма   «Улучшение демографической ситуации, совершенствование социальной поддержки  семьи и детей»муниципальной программы  Глушковского района Курской области «Социальная поддержка граждан в Глушковском районе Курской области»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</si>
  <si>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</si>
  <si>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02 2 02 13170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</si>
  <si>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</si>
  <si>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02 3 00 00000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</si>
  <si>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</si>
  <si>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02 3 02 00000</t>
  </si>
  <si>
    <t>Содержание работников, осуществляющих переданные государственные полномочия в сфере социальной защиты</t>
  </si>
  <si>
    <t>02 3 02 13220</t>
  </si>
  <si>
    <t>Физическая культура  и спорт</t>
  </si>
  <si>
    <t xml:space="preserve">Физическая культура  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</si>
  <si>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</si>
  <si>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08 2 00 00000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</si>
  <si>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</si>
  <si>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</si>
  <si>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</si>
  <si>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</si>
  <si>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Основное мероприятие "Обеспечение  деятельности и предоставление  муниципальных услуг муниципальными учреждениями, осуществляющими спортивную подготовку"</t>
  </si>
  <si>
    <t>08 2 03 00000</t>
  </si>
  <si>
    <t>08 2 03 С1401</t>
  </si>
  <si>
    <t>Спорт высших достижений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</si>
  <si>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</si>
  <si>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</si>
  <si>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Муниципальная программа Глушковского района Курской области "Повышение эффективности управления финансами  Глушковского района Курской области"
</t>
  </si>
  <si>
    <t>14 0 00 00000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</si>
  <si>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</si>
  <si>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14 1 00 00000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</si>
  <si>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</si>
  <si>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14 1 01 00000</t>
  </si>
  <si>
    <t>Обслуживание муниципального долга</t>
  </si>
  <si>
    <t>14 1 01 С1465</t>
  </si>
  <si>
    <t>Обслуживание государственного (муниципального)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</si>
  <si>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</si>
  <si>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</si>
  <si>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</si>
  <si>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</si>
  <si>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</si>
  <si>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</si>
  <si>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14 2 00 00000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</si>
  <si>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</si>
  <si>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</si>
  <si>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Выравнивание бюджетной обеспеченности поселений (включая городские округа)</t>
  </si>
  <si>
    <t>14 2 01 13450</t>
  </si>
  <si>
    <t>Прочие межбюджетные трансферты общего характера</t>
  </si>
  <si>
    <t>78100С1403</t>
  </si>
  <si>
    <t>Муниципальная программа Глушковского района Курской области "Энергосбережение и повышение энергетической эффективности в муниципальном районе ""Глушковский район" Курской области</t>
  </si>
  <si>
    <t>Подпрограмма "Проведение эффективной энергосберегающей политики в Глушковском районе Курской области" муниципальной программы "Энергосбережение и повышение энергетической эффективности в муниципальном районе ""Глушковский район" Курской области</t>
  </si>
  <si>
    <t>05 1 00  00000</t>
  </si>
  <si>
    <t>Муниципальная программа Глушковского района Курской области «Формирование законопослушного поведения участников дорожного движения на территории Глушковского района Курской области на 2020-2022  годы»</t>
  </si>
  <si>
    <t>18 0 00 00000</t>
  </si>
  <si>
    <t>Подпрограмма" Повышение правового сознания и предупреждение опасного поведения участников дорожного движения" муниципальной программы Глушковского района Курской области «Формирование законопослушного поведения участников дорожного движения на территории Глушковского района Курской области на 2020-2022  годы»</t>
  </si>
  <si>
    <t>18 1 00 00000</t>
  </si>
  <si>
    <t>Основное мероприятие " Предупреждение опасного поведения участников дорожного движения и профилактика дорожнотранспортных проишествий"</t>
  </si>
  <si>
    <t>18 1 01 00000</t>
  </si>
  <si>
    <t>18 1 01 С1459</t>
  </si>
  <si>
    <t>Основное мероприятие "Обеспечение функционирования модели персонифицированного финансирования дополнительного образования  детей"</t>
  </si>
  <si>
    <t>03 2 05 00000</t>
  </si>
  <si>
    <t>03 2 05 С1401</t>
  </si>
  <si>
    <t>Приложение № 4</t>
  </si>
  <si>
    <t>к  решению Представительного  собрания Глушковского района Курской области "О  бюджете муниципального района "Глушковский район" Курской области на 2024 год и плановый период 2025 и 2026 г.г."  от  19 декабря   2023 г. №  27</t>
  </si>
  <si>
    <t>( в редакции решения Представительного собрания Глушковского   района Курской области  от        сентября   2023 г.   № )</t>
  </si>
  <si>
    <t xml:space="preserve">Ведомственная структура расходов бюджета  муниципального района " Глушковский район" Курской  области   </t>
  </si>
  <si>
    <t>руб.</t>
  </si>
  <si>
    <t>ГРБС</t>
  </si>
  <si>
    <t>Бюджет 2024 год</t>
  </si>
  <si>
    <t>КБК 207 113</t>
  </si>
  <si>
    <t>Бюджет 2025 год</t>
  </si>
  <si>
    <t>Бюджет 2026 год</t>
  </si>
  <si>
    <t>6</t>
  </si>
  <si>
    <t>7</t>
  </si>
  <si>
    <t>Администрация Глушковского района    Курской области</t>
  </si>
  <si>
    <t>001</t>
  </si>
  <si>
    <t xml:space="preserve">Реализация мероприятий 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
</t>
  </si>
  <si>
    <t xml:space="preserve">Cтроительство (реконструкция), капитальный ремонт, ремонт и содержание автомобильных дорог общего пользования местного значения                                                       </t>
  </si>
  <si>
    <t xml:space="preserve">Управление образования Администрации Глушковского района Курской области </t>
  </si>
  <si>
    <t>004</t>
  </si>
  <si>
    <t>Основное мероприятие "Организация малозатратных форм детского отдыха"</t>
  </si>
  <si>
    <t>08 3 02 00000</t>
  </si>
  <si>
    <t>Развитие системы оздоровления и отдыха детей</t>
  </si>
  <si>
    <t>08 3 02 С1458</t>
  </si>
  <si>
    <t xml:space="preserve">Обеспечение мероприятий, связанных с  профилактикой и устранением  последствий распространения коронавирусной инфекции </t>
  </si>
  <si>
    <t>08 2 03 С2002</t>
  </si>
  <si>
    <t>Приложение № 5</t>
  </si>
  <si>
    <t xml:space="preserve">к решению Представительного  собрания  Глушковского района Курской области "О бюджете муниципального района "Глушковский район" Курской области на 2024 год и плановый период 2025 и 2026 г.г." от  19     декабря 2023 г. №  27 </t>
  </si>
  <si>
    <t>( в редакции решения Представительного собрания Глушковского района  Курской области  от      сентября  2023 г.  №        )</t>
  </si>
  <si>
    <t xml:space="preserve">Распределение бюджетных ассигнований по целевым статьям  (муниципальным программам  Глушковского района Курской области                                                                                                  и непрограммным направлениям деятельности), группам видов расходов </t>
  </si>
  <si>
    <t>Сумма                    на 2024 год</t>
  </si>
  <si>
    <t>Сумма                    на 2025 год</t>
  </si>
  <si>
    <t>Сумма                    на 2026 год</t>
  </si>
  <si>
    <t>01 0 0000000</t>
  </si>
  <si>
    <t>Расходы  на заработную плату и начисления на выплаты по оплате труда работников учреждений культуры муниципальных районов за счет средств областного бюджета</t>
  </si>
  <si>
    <t xml:space="preserve"> 01 1 01 С1401</t>
  </si>
  <si>
    <t>01 3 03 00000</t>
  </si>
  <si>
    <t>02 1 01 13150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</si>
  <si>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</si>
  <si>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</si>
  <si>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</si>
  <si>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</si>
  <si>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02 3 01 13200</t>
  </si>
  <si>
    <t>Оказание финансовой поддержки общественным организациям</t>
  </si>
  <si>
    <t>02 3 01 С1470</t>
  </si>
  <si>
    <t>Основное мероприятие "Региональный проект "Успех каждого ребенка"</t>
  </si>
  <si>
    <t xml:space="preserve">03 1  ЕВ 51790 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</si>
  <si>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</si>
  <si>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Подпрограмма "Реализация 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</si>
  <si>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Подпрограмма "Создание новых мест в общеобразовательных организациях Глушковского района Курской области в соответствии с прогнозируемой потребностью и современными условиями обучения"</t>
  </si>
  <si>
    <t>Основное мероприятие "Введение новых мест в общеобразовательных организациях Курской области, в том числе путем строительства объектов инфраструктуры общего образования"</t>
  </si>
  <si>
    <t>06 1 00 00000</t>
  </si>
  <si>
    <t>06 1 01 00000</t>
  </si>
  <si>
    <t>Иные межбюджетные трансферты</t>
  </si>
  <si>
    <t>Иные межбюджетные трансферты на осуществление полномочий по обеспечению населения экологически чистой питьевой водой</t>
  </si>
  <si>
    <t>06 1 01 П1427</t>
  </si>
  <si>
    <t>Основное мероприятие "Ликвидация накопленного экологического ущерба"</t>
  </si>
  <si>
    <t>06 1 02 00000</t>
  </si>
  <si>
    <t>06 1 02 С1469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</si>
  <si>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</si>
  <si>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Основное мероприятие "Корректировка ПЗЗ, гереральных планов, координирование границ муниципальных образований "</t>
  </si>
  <si>
    <t>11 1 01 14002</t>
  </si>
  <si>
    <t>11 1 01 14003</t>
  </si>
  <si>
    <t>11 1 01 S4002</t>
  </si>
  <si>
    <t>11 1 01 S4003</t>
  </si>
  <si>
    <t xml:space="preserve">Cтроительство (реконструкция), капитальный ремонт, ремонт и содержание автомобильных дорог общего пользования местного значения  </t>
  </si>
  <si>
    <t>Разработка комплексных схем организации дорожного движения</t>
  </si>
  <si>
    <t>11 3 02 С1601</t>
  </si>
  <si>
    <t>77 2 00 С1467</t>
  </si>
  <si>
    <t>77 3 00 С1441</t>
  </si>
  <si>
    <t xml:space="preserve">                      Приложение №  2</t>
  </si>
  <si>
    <t>к решению представительного собрания</t>
  </si>
  <si>
    <t xml:space="preserve">                                    </t>
  </si>
  <si>
    <t>Глушковского района Курской области</t>
  </si>
  <si>
    <t xml:space="preserve">О бюджете муниципального района Глушковский район"  </t>
  </si>
  <si>
    <t>Курской области на 2024 год и плановый период 2025 и 2026 годов. "</t>
  </si>
  <si>
    <t>от " 19 "  декабря  2023г.  № 27</t>
  </si>
  <si>
    <t>( в редакции решения Представительного</t>
  </si>
  <si>
    <t>собрания Глушковского района  Курской области</t>
  </si>
  <si>
    <t>от  " ____ " ноября  2023г. № _____ )</t>
  </si>
  <si>
    <t>Прогнозируемое поступление доходов  в  бюджет муниципального района</t>
  </si>
  <si>
    <t xml:space="preserve"> "Глушковский район" Курской области в 2024 году и в плановом  периоде 2025 и 2026 годов</t>
  </si>
  <si>
    <t xml:space="preserve">  (рублей)</t>
  </si>
  <si>
    <t>Наименование доходов</t>
  </si>
  <si>
    <t>Сумма  на   2024 год</t>
  </si>
  <si>
    <t>Сумма  на   2025 год</t>
  </si>
  <si>
    <t>Сумма  на   2026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</si>
  <si>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</si>
  <si>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</si>
  <si>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</si>
  <si>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</si>
  <si>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</si>
  <si>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</si>
  <si>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</si>
  <si>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</si>
  <si>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</si>
  <si>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</si>
  <si>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</si>
  <si>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</si>
  <si>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</si>
  <si>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</si>
  <si>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</si>
  <si>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</si>
  <si>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</si>
  <si>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101 02130 01 0000 110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</si>
  <si>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</si>
  <si>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</si>
  <si>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</si>
  <si>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</si>
  <si>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</si>
  <si>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</si>
  <si>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</si>
  <si>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</si>
  <si>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</si>
  <si>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</si>
  <si>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</si>
  <si>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</si>
  <si>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</si>
  <si>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</si>
  <si>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</si>
  <si>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</si>
  <si>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</si>
  <si>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</si>
  <si>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</si>
  <si>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</si>
  <si>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</si>
  <si>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</si>
  <si>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</si>
  <si>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105 01000 00 0000 110</t>
  </si>
  <si>
    <t>Налог, взимаемый в связи с применением упрощенной системы налогообложения</t>
  </si>
  <si>
    <t>105 01010 01 0000 110</t>
  </si>
  <si>
    <t>Налог, взимаемый с налогоплательщиков, выбравших в качестве объекта налогообложения  доходы</t>
  </si>
  <si>
    <t>105 01011 01 0000 110</t>
  </si>
  <si>
    <t>105 01020 01 0000 110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</si>
  <si>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</si>
  <si>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</si>
  <si>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</si>
  <si>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</si>
  <si>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</si>
  <si>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105 02000 02 0000 110</t>
  </si>
  <si>
    <t>Единый налог на вмененный доход для отдельных видов деятельности</t>
  </si>
  <si>
    <t>105 02010 02 0000 110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</si>
  <si>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</si>
  <si>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</si>
  <si>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</si>
  <si>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</si>
  <si>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</si>
  <si>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</si>
  <si>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</si>
  <si>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</si>
  <si>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</si>
  <si>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</si>
  <si>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</si>
  <si>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</si>
  <si>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</si>
  <si>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</si>
  <si>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</si>
  <si>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</si>
  <si>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</si>
  <si>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</si>
  <si>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</si>
  <si>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</si>
  <si>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</si>
  <si>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</si>
  <si>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</si>
  <si>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</si>
  <si>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</si>
  <si>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</si>
  <si>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</si>
  <si>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</si>
  <si>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</si>
  <si>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</si>
  <si>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</si>
  <si>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</si>
  <si>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</si>
  <si>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</si>
  <si>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</si>
  <si>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</si>
  <si>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</si>
  <si>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</si>
  <si>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</si>
  <si>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</si>
  <si>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</si>
  <si>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</si>
  <si>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</si>
  <si>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</si>
  <si>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</si>
  <si>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</si>
  <si>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</si>
  <si>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</si>
  <si>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</si>
  <si>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</si>
  <si>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</si>
  <si>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</si>
  <si>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</si>
  <si>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</si>
  <si>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</si>
  <si>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</si>
  <si>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</si>
  <si>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</si>
  <si>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</si>
  <si>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</si>
  <si>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</si>
  <si>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</si>
  <si>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</si>
  <si>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</si>
  <si>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</si>
  <si>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</si>
  <si>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</si>
  <si>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</si>
  <si>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</si>
  <si>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</si>
  <si>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</si>
  <si>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</si>
  <si>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</si>
  <si>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</si>
  <si>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</si>
  <si>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</si>
  <si>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</si>
  <si>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</si>
  <si>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сбросы загрязняющих веществ в водные объекты</t>
  </si>
  <si>
    <t>112 01030 01 0000 120</t>
  </si>
  <si>
    <t>112 01040 01 0000 120</t>
  </si>
  <si>
    <t>Плата за размещение отходов производства и потребления</t>
  </si>
  <si>
    <t>112 01041 01 0000 120</t>
  </si>
  <si>
    <t>Плата за размещение отходов производства</t>
  </si>
  <si>
    <t>112 01042 01 0000 120</t>
  </si>
  <si>
    <t>Плата за размещение твердых коммунальных отходов</t>
  </si>
  <si>
    <t>113 00000 00 0000 000</t>
  </si>
  <si>
    <t>ДОХОДЫ ОТ ОКАЗАНИЯ ПЛАТНЫХ УСЛУГ  И КОМПЕНСАЦИИ ЗАТРАТ ГОСУДАРСТВА</t>
  </si>
  <si>
    <t>113 01000 00 0000 130</t>
  </si>
  <si>
    <t xml:space="preserve">Доходы от оказания платных услуг (работ) </t>
  </si>
  <si>
    <t>113 01990 00 0000 130</t>
  </si>
  <si>
    <t>Прочие доходы от оказания платных услуг (работ)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</si>
  <si>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</si>
  <si>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</si>
  <si>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113 02000 00 0000 130</t>
  </si>
  <si>
    <t>Доходы от компенсации затрат государства</t>
  </si>
  <si>
    <t>113 02990 00 0000 130</t>
  </si>
  <si>
    <t>Прочие доходы от компенсации затрат государства</t>
  </si>
  <si>
    <t>113 02995 05 0000 130</t>
  </si>
  <si>
    <t>Прочие доходы от компенсации затрат бюджетов муниципальных районов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</si>
  <si>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</si>
  <si>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</si>
  <si>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</si>
  <si>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</si>
  <si>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1 14 01050 05 0000 410</t>
  </si>
  <si>
    <t>Доходы от продажи квартир, находящихся в собственности муниципальных районов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</si>
  <si>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</si>
  <si>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</si>
  <si>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</si>
  <si>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</si>
  <si>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</si>
  <si>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</si>
  <si>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</si>
  <si>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</si>
  <si>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</si>
  <si>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</si>
  <si>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</si>
  <si>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</si>
  <si>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</si>
  <si>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</si>
  <si>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</si>
  <si>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</si>
  <si>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</si>
  <si>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</si>
  <si>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</si>
  <si>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</si>
  <si>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</si>
  <si>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</si>
  <si>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</si>
  <si>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</si>
  <si>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</si>
  <si>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</si>
  <si>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116 01000 01 0000 140</t>
  </si>
  <si>
    <t>Административные штрафы, установленные Кодексом Российской Федерации об административных правонарушениях</t>
  </si>
  <si>
    <t>116 01050 01 0000 140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</si>
  <si>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</si>
  <si>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</si>
  <si>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</si>
  <si>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</si>
  <si>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</si>
  <si>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</si>
  <si>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</si>
  <si>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</si>
  <si>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</si>
  <si>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</si>
  <si>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</si>
  <si>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</si>
  <si>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</t>
  </si>
  <si>
    <t>116 01083 01 0000 140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</si>
  <si>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среды, природопользования и обращения с животными, налагаемые мировыми судьями, комиссиями по делам несовершеннолетних и защите их прав</t>
  </si>
  <si>
    <t>116 01130 01 0000 140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</si>
  <si>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</si>
  <si>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</si>
  <si>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</si>
  <si>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</si>
  <si>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</si>
  <si>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</si>
  <si>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</si>
  <si>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</si>
  <si>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</si>
  <si>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</si>
  <si>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</si>
  <si>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</si>
  <si>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</si>
  <si>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</si>
  <si>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</si>
  <si>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</si>
  <si>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</si>
  <si>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</si>
  <si>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</si>
  <si>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</si>
  <si>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</si>
  <si>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</si>
  <si>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</si>
  <si>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</si>
  <si>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</si>
  <si>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</si>
  <si>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</si>
  <si>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</si>
  <si>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</si>
  <si>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</si>
  <si>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</si>
  <si>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</si>
  <si>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</si>
  <si>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</si>
  <si>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</si>
  <si>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</si>
  <si>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</si>
  <si>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116 10000 00 0000 140</t>
  </si>
  <si>
    <t>Платежи в целях возмещения причиненного ущерба (убытков)</t>
  </si>
  <si>
    <t>116 10120 00 0000 140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</si>
  <si>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</si>
  <si>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</si>
  <si>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</si>
  <si>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</si>
  <si>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</si>
  <si>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116 11000 01 0000 140</t>
  </si>
  <si>
    <t>Платежи, уплачиваемые в целях возмещения вреда</t>
  </si>
  <si>
    <t>116 11050 01 0000 140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</si>
  <si>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</si>
  <si>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117 00000 00 0000 000</t>
  </si>
  <si>
    <t>ПРОЧИЕ НЕНАЛОГОВЫЕ ДОХОДЫ</t>
  </si>
  <si>
    <t>117 15000 00 0000 150</t>
  </si>
  <si>
    <t>Инициативные платежи</t>
  </si>
  <si>
    <t>117 15030 05 0000 150</t>
  </si>
  <si>
    <t>Инициативные платежи, зачисляемые в бюджеты муниципальных районов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</si>
  <si>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</si>
  <si>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</si>
  <si>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</si>
  <si>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</si>
  <si>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</si>
  <si>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</si>
  <si>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</si>
  <si>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</si>
  <si>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202 10000 00 0000 150</t>
  </si>
  <si>
    <t>Дотации бюджетам бюджетной системы Российской Федерации</t>
  </si>
  <si>
    <t>202 15001 00 0000 150</t>
  </si>
  <si>
    <t>Дотации на выравнивание  бюджетной обеспеченности</t>
  </si>
  <si>
    <t>202 15001 05 0000 150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</si>
  <si>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</si>
  <si>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202 15002 00 0000 150</t>
  </si>
  <si>
    <t>Дотации бюджетам на поддержку мер по обеспечению сбалансированности бюджетов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</si>
  <si>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</si>
  <si>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</si>
  <si>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202 19999 00 0000 150</t>
  </si>
  <si>
    <t>Прочие дотации</t>
  </si>
  <si>
    <t>202 19999 05 0000 150</t>
  </si>
  <si>
    <t>Прочие дотации бюджетам муниципальных районов</t>
  </si>
  <si>
    <t>202 20000 00 0000 150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</si>
  <si>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</si>
  <si>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</si>
  <si>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</si>
  <si>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</si>
  <si>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</si>
  <si>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</si>
  <si>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</si>
  <si>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</si>
  <si>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</si>
  <si>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202 25098 00 0000 150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</si>
  <si>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</si>
  <si>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202 25098 05 0000 150</t>
  </si>
  <si>
    <t>Субсидии бюджетам муниципальных районов на обновление материальнотехнической базы для организации учебноисследовательской,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</si>
  <si>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202 25172 00 0000 150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</si>
  <si>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</si>
  <si>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202 25172 05 0000 150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</si>
  <si>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</si>
  <si>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202 25179 00 0000 150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</si>
  <si>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</si>
  <si>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202 25179 05 0000 150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</si>
  <si>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</si>
  <si>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</si>
  <si>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</si>
  <si>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</si>
  <si>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</si>
  <si>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</si>
  <si>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</si>
  <si>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</si>
  <si>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</si>
  <si>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</si>
  <si>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</si>
  <si>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</si>
  <si>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</si>
  <si>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2 02 25519 00 0000 150</t>
  </si>
  <si>
    <t>Субсидии бюджетам на поддержку отрасли культуры</t>
  </si>
  <si>
    <t>2 02 25519 05 0000 150</t>
  </si>
  <si>
    <t>Субсидии бюджетам муниципальных районов на поддержку отрасли культуры</t>
  </si>
  <si>
    <t>202 25750 00 0000 150</t>
  </si>
  <si>
    <t>Субсидии бюджетам на реализацию мероприятий по модернизации школьных систем образования</t>
  </si>
  <si>
    <t>202 25750 05 0000 150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</si>
  <si>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</si>
  <si>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202 29999 00 0000 150</t>
  </si>
  <si>
    <t>Прочие субсидии</t>
  </si>
  <si>
    <t>202 29999 05 0000 150</t>
  </si>
  <si>
    <t>Прочие субсидии бюджетам муниципальных районов</t>
  </si>
  <si>
    <t xml:space="preserve">            в том числе:</t>
  </si>
  <si>
    <t>Субсидии местным бюджетам  на реализацию проекта "Народный бюджет" в Курской области"</t>
  </si>
  <si>
    <t>Субсидии бюджетам муниципальных образований на мероприятия по внесению в Единый государственный реестр недвижимости сведений о границах  муниципальных образований и границах населенных пунктов</t>
  </si>
  <si>
    <t>Субсидии бюджетам муниципальных районов  на заработную плату и начисления на выплаты по оплате труда работников учреждений культуры муниципальных районов</t>
  </si>
  <si>
    <r>
      <t xml:space="preserve">Субсидии, предоставляемые местным бюджетам на дополнительное финансирование мероприятий по организации </t>
    </r>
    <r>
      <rPr>
        <b/>
        <sz val="9"/>
        <rFont val="Times New Roman"/>
        <family val="1"/>
      </rPr>
      <t>питания обучающихся из малообеспеченных</t>
    </r>
    <r>
      <rPr>
        <sz val="9"/>
        <rFont val="Times New Roman"/>
        <family val="1"/>
      </rPr>
      <t xml:space="preserve"> и многодетных семей в муниципальных образовательных организациях</t>
    </r>
  </si>
  <si>
    <r>
      <t xml:space="preserve">Субсидии бюджетам муниципальных районов на  приобретение </t>
    </r>
    <r>
      <rPr>
        <b/>
        <sz val="9"/>
        <rFont val="Times New Roman"/>
        <family val="1"/>
      </rPr>
      <t>горюче-смазочных</t>
    </r>
    <r>
      <rPr>
        <sz val="9"/>
        <rFont val="Times New Roman"/>
        <family val="1"/>
      </rPr>
      <t xml:space="preserve"> материалов, для обеспечения подвоза обучающихся муниципальных общеобразовательных организаций к месту обучения и обратно</t>
    </r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</si>
  <si>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9"/>
        <rFont val="Times New Roman"/>
        <family val="1"/>
      </rPr>
      <t>каникулярное время</t>
    </r>
  </si>
  <si>
    <t>Субсидии на предоставление мер социальной поддержки работникам муниципальных образовательных организаций</t>
  </si>
  <si>
    <t>Субсидии местным бюджетам на строительство (реконструкцию) автомобильных дорог общего пользования местного значения (дорога в д. Шагарово)</t>
  </si>
  <si>
    <t>Субсидии бюджетам муниципальных образований на софинансирование расходных ообязательств муниципальных образований, связанных с созданием (развитием) муниципальных автоматизированных систем централизованного оповещения населения</t>
  </si>
  <si>
    <t>202 30000 00 0000 150</t>
  </si>
  <si>
    <t>Субвенции бюджетам бюджетной системы Российской Федерации</t>
  </si>
  <si>
    <t>202 30013 00 0000 150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</si>
  <si>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</si>
  <si>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</si>
  <si>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</si>
  <si>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202 30027 00 0000 150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</si>
  <si>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</si>
  <si>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202 30027 05 0000 150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</si>
  <si>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</si>
  <si>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202 35082 00 0000 150</t>
  </si>
  <si>
    <t>Субвенции бюджетам муниципальных районов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</si>
  <si>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202 35082 05 0000 150</t>
  </si>
  <si>
    <t>202 35120 00 0000 150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</si>
  <si>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</si>
  <si>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</si>
  <si>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</si>
  <si>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202 35302 00 0000 150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</si>
  <si>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</si>
  <si>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202 35302 05 0000 150</t>
  </si>
  <si>
    <t>202 35303 00 0000 150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</si>
  <si>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</si>
  <si>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202 35303 05 0000 150</t>
  </si>
  <si>
    <r>
      <t xml:space="preserve">Субвенции бюджетам муниципальных районов на ежемесячное денежное вознаграждение за </t>
    </r>
    <r>
      <rPr>
        <b/>
        <sz val="10"/>
        <color indexed="8"/>
        <rFont val="Times New Roman"/>
        <family val="1"/>
      </rPr>
      <t>классное руководство</t>
    </r>
    <r>
      <rPr>
        <sz val="10"/>
        <color indexed="8"/>
        <rFont val="Times New Roman"/>
        <family val="1"/>
      </rPr>
      <t xml:space="preserve">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  </r>
  </si>
  <si>
    <t>2 02 35469 00 0000 150</t>
  </si>
  <si>
    <t>Субвенции бюджетам на проведение Всероссийской переписи населения 2020 года</t>
  </si>
  <si>
    <t>2 02 35469 05 0000 150</t>
  </si>
  <si>
    <t>Субвенции бюджетам муниципальных районов на проведение Всероссийской переписи населения 2020 года</t>
  </si>
  <si>
    <t>202 35930 00 0000 150</t>
  </si>
  <si>
    <t>Субвенции бюджетам на государственную регистрацию актов гражданского состояния</t>
  </si>
  <si>
    <t>202 35930 05 0000 150</t>
  </si>
  <si>
    <t>Субвенции бюджетам муниципальных районов на государственную регистрацию актов гражданского состояния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</si>
  <si>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</si>
  <si>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</si>
  <si>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</si>
  <si>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</si>
  <si>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</si>
  <si>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</si>
  <si>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</si>
  <si>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</si>
  <si>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</si>
  <si>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</si>
  <si>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</si>
  <si>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</si>
  <si>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</si>
  <si>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</si>
  <si>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202 39999 00 0000 150</t>
  </si>
  <si>
    <t>Прочие субвенции</t>
  </si>
  <si>
    <t>202 39999 05 0000 150</t>
  </si>
  <si>
    <t>Прочие субвенции бюджетам муниципальных районов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</si>
  <si>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</si>
  <si>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r>
      <t xml:space="preserve">Субвенции местным бюджетам на оплату труда работников </t>
    </r>
    <r>
      <rPr>
        <b/>
        <sz val="9"/>
        <rFont val="Times New Roman"/>
        <family val="1"/>
      </rPr>
      <t>общеобразовательных</t>
    </r>
    <r>
      <rPr>
        <sz val="9"/>
        <rFont val="Times New Roman"/>
        <family val="1"/>
      </rPr>
      <t xml:space="preserve">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  </r>
  </si>
  <si>
    <r>
      <t xml:space="preserve">Субвенции местным бюджетам  на осуществление отдельных государственных полномочий  по финансовому обеспечению расходов, связанных с оплатой жилых помещений, отопления и освещения  работникам муниципальных </t>
    </r>
    <r>
      <rPr>
        <b/>
        <sz val="9"/>
        <rFont val="Times New Roman"/>
        <family val="1"/>
      </rPr>
      <t>образовательных организаций</t>
    </r>
    <r>
      <rPr>
        <sz val="9"/>
        <rFont val="Times New Roman"/>
        <family val="1"/>
      </rPr>
      <t xml:space="preserve"> </t>
    </r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</si>
  <si>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оплате стоимости </t>
    </r>
    <r>
      <rPr>
        <b/>
        <sz val="9"/>
        <rFont val="Times New Roman"/>
        <family val="1"/>
      </rPr>
      <t>аренды жилых помещений</t>
    </r>
    <r>
      <rPr>
        <sz val="9"/>
        <rFont val="Times New Roman"/>
        <family val="1"/>
      </rPr>
      <t xml:space="preserve"> работникам муниципальных </t>
    </r>
    <r>
      <rPr>
        <b/>
        <sz val="9"/>
        <rFont val="Times New Roman"/>
        <family val="1"/>
      </rPr>
      <t xml:space="preserve">образовательных организаций, </t>
    </r>
    <r>
      <rPr>
        <sz val="9"/>
        <rFont val="Times New Roman"/>
        <family val="1"/>
      </rPr>
      <t xml:space="preserve">проживающим и работающим в сельских населенных пунктах, рабочих поселках (поселках городского типа) </t>
    </r>
  </si>
  <si>
    <r>
      <t xml:space="preserve">Субвенции местным бюджетам на оплату труда работников  </t>
    </r>
    <r>
      <rPr>
        <b/>
        <sz val="9"/>
        <rFont val="Times New Roman"/>
        <family val="1"/>
      </rPr>
      <t>дошкольных образовательных учреждений,</t>
    </r>
    <r>
      <rPr>
        <sz val="9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</si>
  <si>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r>
      <t xml:space="preserve">Субвенции бюджетам муниципальных районов на </t>
    </r>
    <r>
      <rPr>
        <b/>
        <sz val="9"/>
        <rFont val="Times New Roman"/>
        <family val="1"/>
      </rPr>
      <t>компенсацию части родительской</t>
    </r>
    <r>
      <rPr>
        <sz val="9"/>
        <rFont val="Times New Roman"/>
        <family val="1"/>
      </rPr>
      <t xml:space="preserve">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  </r>
  </si>
  <si>
    <r>
      <t xml:space="preserve">Субвенции местным бюджетам на </t>
    </r>
    <r>
      <rPr>
        <b/>
        <sz val="9"/>
        <rFont val="Times New Roman"/>
        <family val="1"/>
      </rPr>
      <t>содержание работников</t>
    </r>
    <r>
      <rPr>
        <sz val="9"/>
        <rFont val="Times New Roman"/>
        <family val="1"/>
      </rPr>
      <t>,  осуществляющих переданные государственные полномочия</t>
    </r>
    <r>
      <rPr>
        <b/>
        <sz val="9"/>
        <rFont val="Times New Roman"/>
        <family val="1"/>
      </rPr>
      <t xml:space="preserve"> по выплате компенсации части родительской платы</t>
    </r>
    <r>
      <rPr>
        <sz val="9"/>
        <rFont val="Times New Roman"/>
        <family val="1"/>
      </rPr>
      <t xml:space="preserve"> за содержание ребенка в муниципальных образовательных учреждениях, реализующих основную общеобразовательную программу </t>
    </r>
    <r>
      <rPr>
        <b/>
        <sz val="9"/>
        <rFont val="Times New Roman"/>
        <family val="1"/>
      </rPr>
      <t>дошкольного</t>
    </r>
    <r>
      <rPr>
        <sz val="9"/>
        <rFont val="Times New Roman"/>
        <family val="1"/>
      </rPr>
      <t xml:space="preserve"> образования</t>
    </r>
  </si>
  <si>
    <t>Субвенции местным бюджетам на осуществление отдельных  государственных полномочий по финансовому обеспечению расходов, связанных с оплатой жилых помещений, отопления и освещения  работникам муниципальных учреждений культуры</t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</si>
  <si>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</si>
  <si>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</si>
  <si>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</si>
  <si>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</si>
  <si>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</si>
  <si>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</si>
  <si>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</si>
  <si>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 бюджетам  муниципальных   районов  на организацию проведения мероприятий при осуществлении деятельности по обращению с животными без владельцев</t>
  </si>
  <si>
    <t>Субвенции  бюджетам  муниципальных   районов  на содержание работников, осуществляющих отдельные государственные полномочия по обращению с животными без владельцев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</si>
  <si>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</si>
  <si>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202 40000 00 0000 150</t>
  </si>
  <si>
    <t>202 40014 00 0000 150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</si>
  <si>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</si>
  <si>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</si>
  <si>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</si>
  <si>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</si>
  <si>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</si>
  <si>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</si>
  <si>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</si>
  <si>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202 49999 00 0000 150</t>
  </si>
  <si>
    <t>Прочие межбюджетные трансферты, передаваемые бюджетам</t>
  </si>
  <si>
    <t>202 49999 05 0000 150</t>
  </si>
  <si>
    <t>Прочие межбюджетные трансферты, передаваемые бюджетам муниципальных районов</t>
  </si>
  <si>
    <t>204 05000 00 0000 150</t>
  </si>
  <si>
    <t>Безвозмездные поступления от негосударственных организаций в бюджеты муниципальных районов</t>
  </si>
  <si>
    <t>204 05099 05 0000 150</t>
  </si>
  <si>
    <t>Прочие безвозмездные поступления от негосударственных организаций в бюджеты муниципальных районов</t>
  </si>
  <si>
    <t>207 00000 00 0000 000</t>
  </si>
  <si>
    <t>ПРОЧИЕ БЕЗВОЗМЕЗДНЫЕ ПОСТУПЛЕНИЯ</t>
  </si>
  <si>
    <t>207 05000 05 0000 150</t>
  </si>
  <si>
    <t>Прочие безвозмездные поступления в бюджеты муниципальных районов</t>
  </si>
  <si>
    <t>207 05020 05 0000 150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</si>
  <si>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</si>
  <si>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207 05030 05 0000 150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</si>
  <si>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</si>
  <si>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</si>
  <si>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</si>
  <si>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</si>
  <si>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</si>
  <si>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</si>
  <si>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219 00000 00 0000 000</t>
  </si>
  <si>
    <t>ВОЗВРАТ ОСТАТКОВ СУБСИДИЙ, СУБВЕНЦИЙ И ИНЫХ МЕЖБЮДЖЕТНЫХ ТРАНСФЕРТОВ, ИМЕЮЩИХ ЦЕЛЕВОЕ НАЗНАЧЕНИЕ, ПРОШЛЫХ ЛЕТ</t>
  </si>
  <si>
    <t>219 00000 05 0000 150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</si>
  <si>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</si>
  <si>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219 35082 05 0000 150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</si>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</sst>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_-&quot;£&quot;* #,##0.00_-;\-&quot;£&quot;* #,##0.00_-;_-&quot;£&quot;* &quot;-&quot;??_-;_-@_-"/>
    <numFmt numFmtId="174" formatCode="#,##0.000"/>
    <numFmt numFmtId="175" formatCode="0.0"/>
    <numFmt numFmtId="176" formatCode="#,##0.0"/>
    <numFmt numFmtId="177" formatCode="0.00000"/>
    <numFmt numFmtId="178" formatCode="#,##0.00\ _₽"/>
    <numFmt numFmtId="179" formatCode="0000000"/>
    <numFmt numFmtId="180" formatCode="#,##0.00_ ;\-#,##0.00\ "/>
  </numFmts>
  <fonts count="89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 Cyr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0"/>
      <name val="Arial Cir"/>
      <family val="0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0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25" fillId="0" borderId="0">
      <alignment/>
      <protection/>
    </xf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5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13" xfId="0" applyBorder="1" applyAlignment="1">
      <alignment horizontal="center" vertical="center" wrapText="1"/>
    </xf>
    <xf numFmtId="49" fontId="11" fillId="0" borderId="13" xfId="61" applyNumberFormat="1" applyFont="1" applyBorder="1" applyAlignment="1">
      <alignment horizontal="center" vertical="center" wrapText="1"/>
      <protection/>
    </xf>
    <xf numFmtId="0" fontId="11" fillId="0" borderId="13" xfId="61" applyFont="1" applyBorder="1" applyAlignment="1">
      <alignment vertical="top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11" fillId="0" borderId="13" xfId="61" applyFont="1" applyBorder="1" applyAlignment="1">
      <alignment horizontal="center" vertical="top" wrapText="1"/>
      <protection/>
    </xf>
    <xf numFmtId="49" fontId="0" fillId="0" borderId="13" xfId="61" applyNumberFormat="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top" wrapText="1"/>
      <protection/>
    </xf>
    <xf numFmtId="0" fontId="0" fillId="0" borderId="13" xfId="61" applyFont="1" applyBorder="1" applyAlignment="1">
      <alignment vertical="top" wrapText="1"/>
      <protection/>
    </xf>
    <xf numFmtId="0" fontId="0" fillId="0" borderId="16" xfId="61" applyFont="1" applyFill="1" applyBorder="1" applyAlignment="1">
      <alignment vertical="center" wrapText="1"/>
      <protection/>
    </xf>
    <xf numFmtId="0" fontId="0" fillId="0" borderId="16" xfId="61" applyFont="1" applyFill="1" applyBorder="1" applyAlignment="1">
      <alignment vertical="top" wrapText="1"/>
      <protection/>
    </xf>
    <xf numFmtId="49" fontId="0" fillId="0" borderId="13" xfId="61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49" fontId="8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9" fillId="0" borderId="13" xfId="0" applyFont="1" applyFill="1" applyBorder="1" applyAlignment="1">
      <alignment horizontal="left"/>
    </xf>
    <xf numFmtId="0" fontId="0" fillId="0" borderId="13" xfId="61" applyFont="1" applyBorder="1" applyAlignment="1">
      <alignment horizontal="center" vertical="top" wrapText="1"/>
      <protection/>
    </xf>
    <xf numFmtId="0" fontId="11" fillId="0" borderId="13" xfId="61" applyFont="1" applyBorder="1" applyAlignment="1">
      <alignment wrapText="1"/>
      <protection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wrapText="1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2" fontId="11" fillId="0" borderId="13" xfId="61" applyNumberFormat="1" applyFont="1" applyFill="1" applyBorder="1" applyAlignment="1">
      <alignment/>
      <protection/>
    </xf>
    <xf numFmtId="177" fontId="11" fillId="0" borderId="0" xfId="0" applyNumberFormat="1" applyFont="1" applyAlignment="1">
      <alignment/>
    </xf>
    <xf numFmtId="2" fontId="0" fillId="0" borderId="13" xfId="61" applyNumberFormat="1" applyFont="1" applyFill="1" applyBorder="1" applyAlignment="1">
      <alignment/>
      <protection/>
    </xf>
    <xf numFmtId="177" fontId="0" fillId="0" borderId="0" xfId="0" applyNumberFormat="1" applyAlignment="1">
      <alignment/>
    </xf>
    <xf numFmtId="2" fontId="11" fillId="0" borderId="13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74" fontId="11" fillId="0" borderId="17" xfId="61" applyNumberFormat="1" applyFont="1" applyBorder="1" applyAlignment="1">
      <alignment/>
      <protection/>
    </xf>
    <xf numFmtId="174" fontId="0" fillId="0" borderId="17" xfId="61" applyNumberFormat="1" applyFont="1" applyBorder="1" applyAlignment="1">
      <alignment/>
      <protection/>
    </xf>
    <xf numFmtId="0" fontId="1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 wrapText="1"/>
    </xf>
    <xf numFmtId="1" fontId="0" fillId="0" borderId="13" xfId="0" applyNumberFormat="1" applyFill="1" applyBorder="1" applyAlignment="1">
      <alignment vertical="center" wrapText="1"/>
    </xf>
    <xf numFmtId="2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3" xfId="61" applyFont="1" applyBorder="1" applyAlignment="1">
      <alignment vertical="top" wrapText="1"/>
      <protection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4" fontId="7" fillId="0" borderId="13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7" fillId="0" borderId="13" xfId="0" applyNumberFormat="1" applyFont="1" applyBorder="1" applyAlignment="1">
      <alignment wrapText="1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78" fontId="9" fillId="0" borderId="13" xfId="0" applyNumberFormat="1" applyFont="1" applyBorder="1" applyAlignment="1">
      <alignment horizontal="center" wrapText="1"/>
    </xf>
    <xf numFmtId="178" fontId="0" fillId="0" borderId="12" xfId="0" applyNumberFormat="1" applyBorder="1" applyAlignment="1">
      <alignment/>
    </xf>
    <xf numFmtId="178" fontId="9" fillId="0" borderId="13" xfId="0" applyNumberFormat="1" applyFont="1" applyBorder="1" applyAlignment="1">
      <alignment horizontal="center"/>
    </xf>
    <xf numFmtId="178" fontId="1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0" fillId="0" borderId="13" xfId="0" applyNumberFormat="1" applyFill="1" applyBorder="1" applyAlignment="1">
      <alignment horizontal="center" wrapText="1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0" fillId="0" borderId="13" xfId="0" applyNumberFormat="1" applyBorder="1" applyAlignment="1">
      <alignment/>
    </xf>
    <xf numFmtId="2" fontId="11" fillId="0" borderId="13" xfId="0" applyNumberFormat="1" applyFont="1" applyBorder="1" applyAlignment="1">
      <alignment/>
    </xf>
    <xf numFmtId="2" fontId="0" fillId="0" borderId="13" xfId="61" applyNumberFormat="1" applyFont="1" applyFill="1" applyBorder="1" applyAlignment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0" fillId="0" borderId="13" xfId="61" applyFont="1" applyFill="1" applyBorder="1" applyAlignment="1">
      <alignment vertical="top" wrapText="1"/>
      <protection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right"/>
    </xf>
    <xf numFmtId="9" fontId="1" fillId="0" borderId="0" xfId="7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49" fontId="17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18" fillId="0" borderId="13" xfId="0" applyNumberFormat="1" applyFont="1" applyFill="1" applyBorder="1" applyAlignment="1">
      <alignment horizontal="center" vertical="center" wrapText="1"/>
    </xf>
    <xf numFmtId="1" fontId="18" fillId="0" borderId="13" xfId="0" applyNumberFormat="1" applyFont="1" applyFill="1" applyBorder="1" applyAlignment="1">
      <alignment horizontal="center" vertical="center"/>
    </xf>
    <xf numFmtId="1" fontId="18" fillId="0" borderId="13" xfId="0" applyNumberFormat="1" applyFont="1" applyFill="1" applyBorder="1" applyAlignment="1">
      <alignment horizontal="right" vertical="center" wrapText="1"/>
    </xf>
    <xf numFmtId="1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0" fontId="1" fillId="0" borderId="13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1" fillId="0" borderId="13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vertical="top" wrapText="1"/>
    </xf>
    <xf numFmtId="0" fontId="21" fillId="0" borderId="13" xfId="0" applyFont="1" applyFill="1" applyBorder="1" applyAlignment="1">
      <alignment horizontal="left" vertical="top" wrapText="1"/>
    </xf>
    <xf numFmtId="49" fontId="5" fillId="0" borderId="13" xfId="60" applyNumberFormat="1" applyFont="1" applyFill="1" applyBorder="1" applyAlignment="1">
      <alignment horizontal="right" wrapText="1"/>
      <protection/>
    </xf>
    <xf numFmtId="4" fontId="1" fillId="0" borderId="0" xfId="0" applyNumberFormat="1" applyFont="1" applyFill="1" applyAlignment="1">
      <alignment/>
    </xf>
    <xf numFmtId="49" fontId="1" fillId="0" borderId="13" xfId="0" applyNumberFormat="1" applyFont="1" applyFill="1" applyBorder="1" applyAlignment="1">
      <alignment horizontal="left" vertical="top" wrapText="1"/>
    </xf>
    <xf numFmtId="179" fontId="1" fillId="0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1" fillId="0" borderId="13" xfId="0" applyFont="1" applyFill="1" applyBorder="1" applyAlignment="1">
      <alignment vertical="top" wrapText="1"/>
    </xf>
    <xf numFmtId="179" fontId="1" fillId="0" borderId="13" xfId="55" applyNumberFormat="1" applyFont="1" applyFill="1" applyBorder="1" applyAlignment="1" applyProtection="1">
      <alignment horizontal="left" vertical="top" wrapText="1"/>
      <protection hidden="1"/>
    </xf>
    <xf numFmtId="4" fontId="5" fillId="0" borderId="13" xfId="60" applyNumberFormat="1" applyFont="1" applyFill="1" applyBorder="1" applyAlignment="1">
      <alignment horizontal="right" wrapText="1"/>
      <protection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60" applyFont="1" applyFill="1" applyBorder="1" applyAlignment="1">
      <alignment horizontal="justify" vertical="top" wrapText="1"/>
      <protection/>
    </xf>
    <xf numFmtId="0" fontId="5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/>
    </xf>
    <xf numFmtId="0" fontId="22" fillId="0" borderId="13" xfId="0" applyFont="1" applyFill="1" applyBorder="1" applyAlignment="1">
      <alignment horizontal="right" wrapText="1"/>
    </xf>
    <xf numFmtId="49" fontId="5" fillId="0" borderId="13" xfId="0" applyNumberFormat="1" applyFont="1" applyFill="1" applyBorder="1" applyAlignment="1">
      <alignment horizontal="center" wrapText="1"/>
    </xf>
    <xf numFmtId="49" fontId="22" fillId="0" borderId="13" xfId="0" applyNumberFormat="1" applyFont="1" applyFill="1" applyBorder="1" applyAlignment="1">
      <alignment horizontal="center"/>
    </xf>
    <xf numFmtId="2" fontId="21" fillId="0" borderId="13" xfId="72" applyNumberFormat="1" applyFont="1" applyFill="1" applyBorder="1" applyAlignment="1">
      <alignment vertical="top" wrapText="1"/>
      <protection/>
    </xf>
    <xf numFmtId="49" fontId="5" fillId="0" borderId="13" xfId="0" applyNumberFormat="1" applyFont="1" applyFill="1" applyBorder="1" applyAlignment="1">
      <alignment horizontal="right" wrapText="1"/>
    </xf>
    <xf numFmtId="2" fontId="21" fillId="0" borderId="13" xfId="72" applyNumberFormat="1" applyFont="1" applyFill="1" applyBorder="1" applyAlignment="1">
      <alignment horizontal="left" vertical="top" wrapText="1"/>
      <protection/>
    </xf>
    <xf numFmtId="0" fontId="1" fillId="0" borderId="19" xfId="0" applyFont="1" applyFill="1" applyBorder="1" applyAlignment="1">
      <alignment vertical="top" wrapText="1"/>
    </xf>
    <xf numFmtId="2" fontId="1" fillId="0" borderId="13" xfId="72" applyNumberFormat="1" applyFont="1" applyFill="1" applyBorder="1" applyAlignment="1">
      <alignment horizontal="left" vertical="top" wrapText="1"/>
      <protection/>
    </xf>
    <xf numFmtId="0" fontId="21" fillId="0" borderId="13" xfId="0" applyFont="1" applyFill="1" applyBorder="1" applyAlignment="1">
      <alignment horizontal="justify" vertical="top" wrapText="1"/>
    </xf>
    <xf numFmtId="49" fontId="5" fillId="0" borderId="13" xfId="60" applyNumberFormat="1" applyFont="1" applyFill="1" applyBorder="1" applyAlignment="1">
      <alignment horizontal="center" wrapText="1"/>
      <protection/>
    </xf>
    <xf numFmtId="176" fontId="1" fillId="33" borderId="13" xfId="0" applyNumberFormat="1" applyFont="1" applyFill="1" applyBorder="1" applyAlignment="1">
      <alignment horizontal="left" vertical="top" wrapText="1"/>
    </xf>
    <xf numFmtId="176" fontId="1" fillId="0" borderId="13" xfId="0" applyNumberFormat="1" applyFont="1" applyFill="1" applyBorder="1" applyAlignment="1">
      <alignment horizontal="left" vertical="top" wrapText="1"/>
    </xf>
    <xf numFmtId="176" fontId="1" fillId="33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justify" vertical="top"/>
    </xf>
    <xf numFmtId="0" fontId="1" fillId="0" borderId="13" xfId="43" applyFont="1" applyFill="1" applyBorder="1" applyAlignment="1" applyProtection="1">
      <alignment horizontal="left" vertical="top" wrapText="1"/>
      <protection/>
    </xf>
    <xf numFmtId="0" fontId="1" fillId="0" borderId="13" xfId="66" applyFont="1" applyFill="1" applyBorder="1" applyAlignment="1">
      <alignment horizontal="left" vertical="top" wrapText="1"/>
      <protection/>
    </xf>
    <xf numFmtId="49" fontId="1" fillId="0" borderId="13" xfId="0" applyNumberFormat="1" applyFont="1" applyFill="1" applyBorder="1" applyAlignment="1">
      <alignment vertical="top" wrapText="1"/>
    </xf>
    <xf numFmtId="0" fontId="1" fillId="0" borderId="20" xfId="0" applyNumberFormat="1" applyFont="1" applyFill="1" applyBorder="1" applyAlignment="1">
      <alignment vertical="top" wrapText="1"/>
    </xf>
    <xf numFmtId="49" fontId="27" fillId="0" borderId="13" xfId="0" applyNumberFormat="1" applyFont="1" applyFill="1" applyBorder="1" applyAlignment="1">
      <alignment horizontal="right"/>
    </xf>
    <xf numFmtId="0" fontId="80" fillId="0" borderId="13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left" vertical="top" wrapText="1"/>
    </xf>
    <xf numFmtId="49" fontId="27" fillId="0" borderId="13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49" fontId="27" fillId="0" borderId="13" xfId="60" applyNumberFormat="1" applyFont="1" applyFill="1" applyBorder="1" applyAlignment="1">
      <alignment horizontal="right" wrapText="1"/>
      <protection/>
    </xf>
    <xf numFmtId="4" fontId="27" fillId="0" borderId="13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2" fontId="21" fillId="0" borderId="13" xfId="0" applyNumberFormat="1" applyFont="1" applyFill="1" applyBorder="1" applyAlignment="1">
      <alignment vertical="top" wrapText="1"/>
    </xf>
    <xf numFmtId="49" fontId="17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0" fontId="29" fillId="0" borderId="0" xfId="0" applyFont="1" applyFill="1" applyAlignment="1">
      <alignment wrapText="1"/>
    </xf>
    <xf numFmtId="170" fontId="15" fillId="0" borderId="0" xfId="44" applyFont="1" applyFill="1" applyAlignment="1">
      <alignment horizontal="center" wrapText="1"/>
    </xf>
    <xf numFmtId="180" fontId="1" fillId="0" borderId="0" xfId="44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right" vertical="center" wrapText="1"/>
    </xf>
    <xf numFmtId="3" fontId="17" fillId="0" borderId="13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Alignment="1">
      <alignment/>
    </xf>
    <xf numFmtId="4" fontId="5" fillId="0" borderId="13" xfId="0" applyNumberFormat="1" applyFont="1" applyFill="1" applyBorder="1" applyAlignment="1">
      <alignment horizontal="center"/>
    </xf>
    <xf numFmtId="176" fontId="1" fillId="0" borderId="0" xfId="0" applyNumberFormat="1" applyFont="1" applyFill="1" applyAlignment="1">
      <alignment/>
    </xf>
    <xf numFmtId="176" fontId="1" fillId="0" borderId="13" xfId="0" applyNumberFormat="1" applyFont="1" applyFill="1" applyBorder="1" applyAlignment="1">
      <alignment horizontal="left" vertical="center" wrapText="1"/>
    </xf>
    <xf numFmtId="4" fontId="5" fillId="0" borderId="13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vertical="top"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right"/>
    </xf>
    <xf numFmtId="4" fontId="5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4" fontId="4" fillId="0" borderId="18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" fontId="18" fillId="0" borderId="13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/>
    </xf>
    <xf numFmtId="49" fontId="4" fillId="0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" fillId="0" borderId="13" xfId="0" applyFont="1" applyFill="1" applyBorder="1" applyAlignment="1">
      <alignment/>
    </xf>
    <xf numFmtId="2" fontId="21" fillId="0" borderId="13" xfId="72" applyNumberFormat="1" applyFont="1" applyFill="1" applyBorder="1" applyAlignment="1">
      <alignment horizontal="left" vertical="center" wrapText="1"/>
      <protection/>
    </xf>
    <xf numFmtId="179" fontId="1" fillId="0" borderId="13" xfId="55" applyNumberFormat="1" applyFont="1" applyFill="1" applyBorder="1" applyAlignment="1" applyProtection="1">
      <alignment horizontal="left" wrapText="1"/>
      <protection hidden="1"/>
    </xf>
    <xf numFmtId="0" fontId="1" fillId="0" borderId="13" xfId="66" applyFont="1" applyFill="1" applyBorder="1" applyAlignment="1">
      <alignment horizontal="left" wrapText="1"/>
      <protection/>
    </xf>
    <xf numFmtId="0" fontId="21" fillId="0" borderId="13" xfId="0" applyFont="1" applyFill="1" applyBorder="1" applyAlignment="1">
      <alignment vertical="center" wrapText="1"/>
    </xf>
    <xf numFmtId="2" fontId="21" fillId="0" borderId="13" xfId="72" applyNumberFormat="1" applyFont="1" applyFill="1" applyBorder="1" applyAlignment="1">
      <alignment vertical="center" wrapText="1"/>
      <protection/>
    </xf>
    <xf numFmtId="0" fontId="21" fillId="0" borderId="21" xfId="0" applyFont="1" applyFill="1" applyBorder="1" applyAlignment="1">
      <alignment wrapText="1"/>
    </xf>
    <xf numFmtId="0" fontId="21" fillId="0" borderId="19" xfId="0" applyFont="1" applyFill="1" applyBorder="1" applyAlignment="1">
      <alignment horizontal="left" wrapText="1"/>
    </xf>
    <xf numFmtId="2" fontId="1" fillId="0" borderId="13" xfId="72" applyNumberFormat="1" applyFont="1" applyFill="1" applyBorder="1" applyAlignment="1">
      <alignment horizontal="left" vertical="center" wrapText="1"/>
      <protection/>
    </xf>
    <xf numFmtId="0" fontId="1" fillId="0" borderId="13" xfId="43" applyFont="1" applyFill="1" applyBorder="1" applyAlignment="1" applyProtection="1">
      <alignment horizontal="left" wrapText="1"/>
      <protection/>
    </xf>
    <xf numFmtId="0" fontId="1" fillId="0" borderId="13" xfId="0" applyFont="1" applyFill="1" applyBorder="1" applyAlignment="1">
      <alignment horizontal="justify"/>
    </xf>
    <xf numFmtId="4" fontId="5" fillId="0" borderId="13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177" fontId="0" fillId="0" borderId="22" xfId="0" applyNumberFormat="1" applyBorder="1" applyAlignment="1">
      <alignment/>
    </xf>
    <xf numFmtId="2" fontId="0" fillId="0" borderId="0" xfId="61" applyNumberFormat="1" applyFont="1" applyFill="1" applyBorder="1" applyAlignment="1">
      <alignment/>
      <protection/>
    </xf>
    <xf numFmtId="0" fontId="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9" fontId="1" fillId="0" borderId="0" xfId="7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top" wrapText="1"/>
    </xf>
    <xf numFmtId="170" fontId="20" fillId="0" borderId="0" xfId="44" applyFont="1" applyFill="1" applyAlignment="1">
      <alignment horizontal="center" wrapText="1"/>
    </xf>
    <xf numFmtId="49" fontId="1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3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7" fillId="0" borderId="13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/>
    </xf>
    <xf numFmtId="4" fontId="10" fillId="0" borderId="13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4" fontId="9" fillId="0" borderId="23" xfId="0" applyNumberFormat="1" applyFont="1" applyFill="1" applyBorder="1" applyAlignment="1">
      <alignment horizontal="center"/>
    </xf>
    <xf numFmtId="4" fontId="9" fillId="0" borderId="2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7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7" fillId="0" borderId="0" xfId="54" applyFont="1" applyAlignment="1">
      <alignment horizontal="center"/>
      <protection/>
    </xf>
    <xf numFmtId="0" fontId="17" fillId="0" borderId="0" xfId="54" applyFont="1" applyAlignment="1">
      <alignment horizontal="right"/>
      <protection/>
    </xf>
    <xf numFmtId="0" fontId="17" fillId="0" borderId="0" xfId="54" applyFont="1" applyAlignment="1">
      <alignment/>
      <protection/>
    </xf>
    <xf numFmtId="0" fontId="17" fillId="0" borderId="0" xfId="54" applyFont="1" applyAlignment="1">
      <alignment horizontal="right"/>
      <protection/>
    </xf>
    <xf numFmtId="0" fontId="17" fillId="0" borderId="0" xfId="54" applyFont="1" applyAlignment="1">
      <alignment wrapText="1"/>
      <protection/>
    </xf>
    <xf numFmtId="0" fontId="17" fillId="0" borderId="0" xfId="54" applyFont="1" applyAlignment="1">
      <alignment horizontal="right" wrapText="1"/>
      <protection/>
    </xf>
    <xf numFmtId="0" fontId="17" fillId="0" borderId="0" xfId="54" applyFont="1" applyAlignment="1">
      <alignment horizontal="righ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 vertical="center"/>
    </xf>
    <xf numFmtId="174" fontId="1" fillId="0" borderId="14" xfId="0" applyNumberFormat="1" applyFont="1" applyBorder="1" applyAlignment="1">
      <alignment horizontal="right" vertical="center"/>
    </xf>
    <xf numFmtId="174" fontId="1" fillId="0" borderId="0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4" fontId="1" fillId="0" borderId="13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52" fillId="0" borderId="13" xfId="0" applyNumberFormat="1" applyFont="1" applyFill="1" applyBorder="1" applyAlignment="1">
      <alignment horizontal="right" wrapText="1"/>
    </xf>
    <xf numFmtId="4" fontId="52" fillId="0" borderId="0" xfId="0" applyNumberFormat="1" applyFont="1" applyFill="1" applyBorder="1" applyAlignment="1">
      <alignment horizontal="right" wrapText="1"/>
    </xf>
    <xf numFmtId="0" fontId="52" fillId="0" borderId="13" xfId="0" applyFont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4" fontId="52" fillId="0" borderId="13" xfId="0" applyNumberFormat="1" applyFont="1" applyFill="1" applyBorder="1" applyAlignment="1">
      <alignment horizontal="right" vertical="center" wrapText="1"/>
    </xf>
    <xf numFmtId="4" fontId="52" fillId="0" borderId="13" xfId="0" applyNumberFormat="1" applyFont="1" applyBorder="1" applyAlignment="1">
      <alignment horizontal="right" vertical="center" wrapText="1"/>
    </xf>
    <xf numFmtId="4" fontId="52" fillId="0" borderId="0" xfId="0" applyNumberFormat="1" applyFont="1" applyBorder="1" applyAlignment="1">
      <alignment horizontal="right" vertical="center" wrapText="1"/>
    </xf>
    <xf numFmtId="0" fontId="49" fillId="0" borderId="17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81" fillId="0" borderId="0" xfId="0" applyFont="1" applyFill="1" applyAlignment="1">
      <alignment vertical="top" wrapText="1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top" wrapText="1"/>
    </xf>
    <xf numFmtId="4" fontId="50" fillId="0" borderId="13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81" fillId="0" borderId="13" xfId="0" applyFont="1" applyBorder="1" applyAlignment="1">
      <alignment vertical="top" wrapText="1"/>
    </xf>
    <xf numFmtId="0" fontId="82" fillId="0" borderId="13" xfId="0" applyFont="1" applyBorder="1" applyAlignment="1">
      <alignment vertical="top" wrapText="1"/>
    </xf>
    <xf numFmtId="49" fontId="52" fillId="0" borderId="13" xfId="0" applyNumberFormat="1" applyFont="1" applyBorder="1" applyAlignment="1">
      <alignment horizontal="center"/>
    </xf>
    <xf numFmtId="0" fontId="52" fillId="0" borderId="13" xfId="0" applyFont="1" applyBorder="1" applyAlignment="1">
      <alignment wrapText="1"/>
    </xf>
    <xf numFmtId="4" fontId="52" fillId="0" borderId="13" xfId="0" applyNumberFormat="1" applyFont="1" applyBorder="1" applyAlignment="1">
      <alignment horizontal="right" wrapText="1"/>
    </xf>
    <xf numFmtId="4" fontId="49" fillId="0" borderId="0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49" fontId="52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52" fillId="0" borderId="13" xfId="0" applyFont="1" applyBorder="1" applyAlignment="1">
      <alignment vertical="top" wrapText="1"/>
    </xf>
    <xf numFmtId="49" fontId="1" fillId="0" borderId="13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4" fontId="50" fillId="0" borderId="13" xfId="0" applyNumberFormat="1" applyFont="1" applyBorder="1" applyAlignment="1">
      <alignment horizontal="right" vertical="center" wrapText="1"/>
    </xf>
    <xf numFmtId="4" fontId="50" fillId="0" borderId="0" xfId="0" applyNumberFormat="1" applyFont="1" applyBorder="1" applyAlignment="1">
      <alignment horizontal="right" vertical="center" wrapText="1"/>
    </xf>
    <xf numFmtId="0" fontId="53" fillId="0" borderId="0" xfId="0" applyFont="1" applyAlignment="1">
      <alignment vertical="top" wrapText="1"/>
    </xf>
    <xf numFmtId="0" fontId="52" fillId="0" borderId="13" xfId="0" applyFont="1" applyBorder="1" applyAlignment="1">
      <alignment horizontal="center" vertical="center" wrapText="1"/>
    </xf>
    <xf numFmtId="0" fontId="49" fillId="0" borderId="17" xfId="0" applyFont="1" applyBorder="1" applyAlignment="1">
      <alignment vertical="center" wrapText="1"/>
    </xf>
    <xf numFmtId="0" fontId="21" fillId="0" borderId="13" xfId="33" applyNumberFormat="1" applyFont="1" applyFill="1" applyBorder="1" applyAlignment="1">
      <alignment horizontal="center" vertical="center" wrapText="1" readingOrder="1"/>
      <protection/>
    </xf>
    <xf numFmtId="0" fontId="21" fillId="0" borderId="17" xfId="33" applyNumberFormat="1" applyFont="1" applyFill="1" applyBorder="1" applyAlignment="1">
      <alignment horizontal="left" vertical="center" wrapText="1" readingOrder="1"/>
      <protection/>
    </xf>
    <xf numFmtId="4" fontId="52" fillId="0" borderId="0" xfId="0" applyNumberFormat="1" applyFont="1" applyFill="1" applyBorder="1" applyAlignment="1">
      <alignment horizontal="right" vertical="center" wrapText="1"/>
    </xf>
    <xf numFmtId="0" fontId="55" fillId="0" borderId="17" xfId="33" applyNumberFormat="1" applyFont="1" applyFill="1" applyBorder="1" applyAlignment="1">
      <alignment horizontal="left" wrapText="1" readingOrder="1"/>
      <protection/>
    </xf>
    <xf numFmtId="4" fontId="49" fillId="0" borderId="13" xfId="0" applyNumberFormat="1" applyFont="1" applyFill="1" applyBorder="1" applyAlignment="1">
      <alignment horizontal="right" vertical="center" wrapText="1"/>
    </xf>
    <xf numFmtId="4" fontId="49" fillId="0" borderId="0" xfId="0" applyNumberFormat="1" applyFont="1" applyFill="1" applyBorder="1" applyAlignment="1">
      <alignment horizontal="right" vertical="center" wrapText="1"/>
    </xf>
    <xf numFmtId="0" fontId="53" fillId="0" borderId="17" xfId="33" applyNumberFormat="1" applyFont="1" applyFill="1" applyBorder="1" applyAlignment="1">
      <alignment horizontal="left" vertical="top" wrapText="1" readingOrder="1"/>
      <protection/>
    </xf>
    <xf numFmtId="0" fontId="56" fillId="0" borderId="13" xfId="33" applyNumberFormat="1" applyFont="1" applyFill="1" applyBorder="1" applyAlignment="1">
      <alignment horizontal="center" wrapText="1" readingOrder="1"/>
      <protection/>
    </xf>
    <xf numFmtId="0" fontId="56" fillId="0" borderId="17" xfId="33" applyNumberFormat="1" applyFont="1" applyFill="1" applyBorder="1" applyAlignment="1">
      <alignment horizontal="left" wrapText="1" readingOrder="1"/>
      <protection/>
    </xf>
    <xf numFmtId="4" fontId="49" fillId="0" borderId="13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wrapText="1"/>
    </xf>
    <xf numFmtId="4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 wrapText="1"/>
    </xf>
    <xf numFmtId="0" fontId="21" fillId="0" borderId="17" xfId="33" applyNumberFormat="1" applyFont="1" applyFill="1" applyBorder="1" applyAlignment="1">
      <alignment horizontal="left" vertical="top" wrapText="1" readingOrder="1"/>
      <protection/>
    </xf>
    <xf numFmtId="0" fontId="52" fillId="0" borderId="17" xfId="0" applyFont="1" applyBorder="1" applyAlignment="1">
      <alignment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top" wrapText="1"/>
    </xf>
    <xf numFmtId="49" fontId="49" fillId="0" borderId="13" xfId="57" applyNumberFormat="1" applyFont="1" applyBorder="1" applyAlignment="1">
      <alignment horizontal="center" vertical="center" wrapText="1"/>
      <protection/>
    </xf>
    <xf numFmtId="0" fontId="49" fillId="0" borderId="17" xfId="57" applyFont="1" applyBorder="1" applyAlignment="1">
      <alignment vertical="top" wrapText="1"/>
      <protection/>
    </xf>
    <xf numFmtId="49" fontId="1" fillId="0" borderId="13" xfId="57" applyNumberFormat="1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vertical="top" wrapText="1"/>
      <protection/>
    </xf>
    <xf numFmtId="0" fontId="5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top" wrapText="1"/>
    </xf>
    <xf numFmtId="4" fontId="50" fillId="0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0" fontId="50" fillId="0" borderId="17" xfId="0" applyFont="1" applyBorder="1" applyAlignment="1">
      <alignment vertical="top" wrapText="1"/>
    </xf>
    <xf numFmtId="4" fontId="21" fillId="0" borderId="0" xfId="0" applyNumberFormat="1" applyFont="1" applyBorder="1" applyAlignment="1">
      <alignment vertical="center"/>
    </xf>
    <xf numFmtId="0" fontId="49" fillId="0" borderId="13" xfId="0" applyFont="1" applyBorder="1" applyAlignment="1">
      <alignment horizontal="center" vertical="center" wrapText="1"/>
    </xf>
    <xf numFmtId="0" fontId="83" fillId="0" borderId="0" xfId="0" applyFont="1" applyFill="1" applyAlignment="1">
      <alignment vertical="top" wrapText="1"/>
    </xf>
    <xf numFmtId="0" fontId="21" fillId="0" borderId="17" xfId="33" applyNumberFormat="1" applyFont="1" applyFill="1" applyBorder="1" applyAlignment="1">
      <alignment horizontal="left" wrapText="1" readingOrder="1"/>
      <protection/>
    </xf>
    <xf numFmtId="0" fontId="58" fillId="0" borderId="17" xfId="0" applyFont="1" applyBorder="1" applyAlignment="1">
      <alignment wrapText="1"/>
    </xf>
    <xf numFmtId="0" fontId="31" fillId="0" borderId="0" xfId="0" applyFont="1" applyAlignment="1">
      <alignment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/>
    </xf>
    <xf numFmtId="0" fontId="57" fillId="0" borderId="17" xfId="0" applyFont="1" applyBorder="1" applyAlignment="1">
      <alignment vertical="center" wrapText="1"/>
    </xf>
    <xf numFmtId="0" fontId="58" fillId="0" borderId="17" xfId="33" applyNumberFormat="1" applyFont="1" applyFill="1" applyBorder="1" applyAlignment="1">
      <alignment horizontal="left" vertical="center" readingOrder="1"/>
      <protection/>
    </xf>
    <xf numFmtId="0" fontId="58" fillId="0" borderId="17" xfId="33" applyNumberFormat="1" applyFont="1" applyFill="1" applyBorder="1" applyAlignment="1">
      <alignment horizontal="left" vertical="center" wrapText="1" readingOrder="1"/>
      <protection/>
    </xf>
    <xf numFmtId="0" fontId="71" fillId="0" borderId="0" xfId="0" applyFont="1" applyAlignment="1">
      <alignment/>
    </xf>
    <xf numFmtId="0" fontId="52" fillId="0" borderId="17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55" fillId="0" borderId="13" xfId="0" applyFont="1" applyBorder="1" applyAlignment="1">
      <alignment horizontal="center" vertical="center" wrapText="1"/>
    </xf>
    <xf numFmtId="0" fontId="58" fillId="0" borderId="17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55" fillId="0" borderId="25" xfId="0" applyFont="1" applyFill="1" applyBorder="1" applyAlignment="1">
      <alignment wrapText="1"/>
    </xf>
    <xf numFmtId="0" fontId="55" fillId="0" borderId="25" xfId="0" applyFont="1" applyFill="1" applyBorder="1" applyAlignment="1">
      <alignment vertical="top" wrapText="1"/>
    </xf>
    <xf numFmtId="0" fontId="53" fillId="0" borderId="25" xfId="0" applyFont="1" applyFill="1" applyBorder="1" applyAlignment="1">
      <alignment vertical="center" wrapText="1"/>
    </xf>
    <xf numFmtId="0" fontId="55" fillId="0" borderId="25" xfId="0" applyFont="1" applyFill="1" applyBorder="1" applyAlignment="1">
      <alignment vertical="center" wrapText="1"/>
    </xf>
    <xf numFmtId="0" fontId="53" fillId="0" borderId="25" xfId="0" applyFont="1" applyFill="1" applyBorder="1" applyAlignment="1">
      <alignment vertical="top" wrapText="1"/>
    </xf>
    <xf numFmtId="0" fontId="55" fillId="0" borderId="26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vertical="top" wrapText="1"/>
    </xf>
    <xf numFmtId="0" fontId="21" fillId="0" borderId="25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center" vertical="center" wrapText="1"/>
    </xf>
    <xf numFmtId="0" fontId="84" fillId="0" borderId="13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vertical="top" wrapText="1"/>
    </xf>
    <xf numFmtId="0" fontId="55" fillId="0" borderId="28" xfId="0" applyFont="1" applyFill="1" applyBorder="1" applyAlignment="1">
      <alignment vertical="top" wrapText="1"/>
    </xf>
    <xf numFmtId="0" fontId="59" fillId="0" borderId="0" xfId="0" applyFont="1" applyAlignment="1">
      <alignment/>
    </xf>
    <xf numFmtId="0" fontId="21" fillId="0" borderId="26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wrapText="1"/>
    </xf>
    <xf numFmtId="0" fontId="50" fillId="0" borderId="13" xfId="0" applyFont="1" applyFill="1" applyBorder="1" applyAlignment="1">
      <alignment horizontal="center" vertical="center" wrapText="1"/>
    </xf>
    <xf numFmtId="0" fontId="55" fillId="0" borderId="27" xfId="33" applyNumberFormat="1" applyFont="1" applyFill="1" applyBorder="1" applyAlignment="1">
      <alignment horizontal="left" vertical="top" wrapText="1" readingOrder="1"/>
      <protection/>
    </xf>
    <xf numFmtId="0" fontId="53" fillId="0" borderId="25" xfId="0" applyFont="1" applyFill="1" applyBorder="1" applyAlignment="1">
      <alignment vertical="top" wrapText="1" readingOrder="1"/>
    </xf>
    <xf numFmtId="0" fontId="52" fillId="0" borderId="13" xfId="0" applyFont="1" applyFill="1" applyBorder="1" applyAlignment="1">
      <alignment horizontal="center" wrapText="1"/>
    </xf>
    <xf numFmtId="0" fontId="60" fillId="0" borderId="17" xfId="0" applyFont="1" applyBorder="1" applyAlignment="1">
      <alignment vertical="center" wrapText="1"/>
    </xf>
    <xf numFmtId="0" fontId="1" fillId="0" borderId="1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" fontId="55" fillId="0" borderId="13" xfId="0" applyNumberFormat="1" applyFont="1" applyBorder="1" applyAlignment="1">
      <alignment horizontal="right" vertical="center" wrapText="1"/>
    </xf>
    <xf numFmtId="4" fontId="55" fillId="0" borderId="0" xfId="0" applyNumberFormat="1" applyFont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horizontal="right" vertical="center" wrapText="1"/>
    </xf>
    <xf numFmtId="0" fontId="52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left" vertical="center" wrapText="1"/>
    </xf>
    <xf numFmtId="4" fontId="52" fillId="0" borderId="13" xfId="0" applyNumberFormat="1" applyFont="1" applyFill="1" applyBorder="1" applyAlignment="1">
      <alignment wrapText="1"/>
    </xf>
    <xf numFmtId="4" fontId="52" fillId="0" borderId="0" xfId="0" applyNumberFormat="1" applyFont="1" applyFill="1" applyBorder="1" applyAlignment="1">
      <alignment wrapText="1"/>
    </xf>
    <xf numFmtId="49" fontId="52" fillId="0" borderId="13" xfId="63" applyNumberFormat="1" applyFont="1" applyBorder="1" applyAlignment="1">
      <alignment horizontal="center" vertical="center"/>
      <protection/>
    </xf>
    <xf numFmtId="0" fontId="49" fillId="0" borderId="17" xfId="0" applyFont="1" applyBorder="1" applyAlignment="1">
      <alignment horizontal="left" vertical="center" wrapText="1"/>
    </xf>
    <xf numFmtId="0" fontId="49" fillId="0" borderId="17" xfId="64" applyFont="1" applyBorder="1" applyAlignment="1">
      <alignment vertical="top" wrapText="1"/>
      <protection/>
    </xf>
    <xf numFmtId="49" fontId="1" fillId="0" borderId="13" xfId="63" applyNumberFormat="1" applyFont="1" applyFill="1" applyBorder="1" applyAlignment="1">
      <alignment horizontal="center" vertical="center"/>
      <protection/>
    </xf>
    <xf numFmtId="0" fontId="85" fillId="0" borderId="0" xfId="0" applyFont="1" applyFill="1" applyAlignment="1">
      <alignment vertical="top" wrapText="1"/>
    </xf>
    <xf numFmtId="4" fontId="1" fillId="0" borderId="13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9" fontId="52" fillId="0" borderId="13" xfId="63" applyNumberFormat="1" applyFont="1" applyFill="1" applyBorder="1" applyAlignment="1">
      <alignment horizontal="center" vertical="center"/>
      <protection/>
    </xf>
    <xf numFmtId="0" fontId="52" fillId="0" borderId="17" xfId="58" applyFont="1" applyFill="1" applyBorder="1" applyAlignment="1">
      <alignment vertical="center" wrapText="1"/>
      <protection/>
    </xf>
    <xf numFmtId="0" fontId="50" fillId="0" borderId="17" xfId="58" applyFont="1" applyFill="1" applyBorder="1" applyAlignment="1">
      <alignment vertical="top" wrapText="1"/>
      <protection/>
    </xf>
    <xf numFmtId="0" fontId="52" fillId="0" borderId="17" xfId="58" applyFont="1" applyFill="1" applyBorder="1" applyAlignment="1">
      <alignment vertical="top" wrapText="1"/>
      <protection/>
    </xf>
    <xf numFmtId="4" fontId="49" fillId="0" borderId="13" xfId="0" applyNumberFormat="1" applyFont="1" applyFill="1" applyBorder="1" applyAlignment="1">
      <alignment wrapText="1"/>
    </xf>
    <xf numFmtId="4" fontId="49" fillId="0" borderId="0" xfId="0" applyNumberFormat="1" applyFont="1" applyFill="1" applyBorder="1" applyAlignment="1">
      <alignment wrapText="1"/>
    </xf>
    <xf numFmtId="0" fontId="52" fillId="0" borderId="17" xfId="0" applyFont="1" applyFill="1" applyBorder="1" applyAlignment="1">
      <alignment horizontal="left" wrapText="1"/>
    </xf>
    <xf numFmtId="0" fontId="55" fillId="0" borderId="13" xfId="0" applyFont="1" applyFill="1" applyBorder="1" applyAlignment="1">
      <alignment/>
    </xf>
    <xf numFmtId="0" fontId="55" fillId="0" borderId="17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vertical="center"/>
    </xf>
    <xf numFmtId="0" fontId="53" fillId="0" borderId="17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/>
    </xf>
    <xf numFmtId="4" fontId="52" fillId="0" borderId="13" xfId="0" applyNumberFormat="1" applyFont="1" applyFill="1" applyBorder="1" applyAlignment="1">
      <alignment vertical="center" wrapText="1"/>
    </xf>
    <xf numFmtId="4" fontId="49" fillId="0" borderId="0" xfId="0" applyNumberFormat="1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/>
    </xf>
    <xf numFmtId="0" fontId="82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55" fillId="0" borderId="18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vertical="top" wrapText="1"/>
    </xf>
    <xf numFmtId="4" fontId="52" fillId="0" borderId="0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horizontal="right" vertical="center"/>
    </xf>
    <xf numFmtId="0" fontId="55" fillId="34" borderId="13" xfId="0" applyFont="1" applyFill="1" applyBorder="1" applyAlignment="1">
      <alignment horizontal="center" vertical="center"/>
    </xf>
    <xf numFmtId="0" fontId="87" fillId="7" borderId="13" xfId="0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horizontal="right" vertical="center"/>
    </xf>
    <xf numFmtId="4" fontId="52" fillId="0" borderId="0" xfId="0" applyNumberFormat="1" applyFont="1" applyFill="1" applyBorder="1" applyAlignment="1">
      <alignment horizontal="right" vertical="center"/>
    </xf>
    <xf numFmtId="0" fontId="53" fillId="34" borderId="13" xfId="0" applyFont="1" applyFill="1" applyBorder="1" applyAlignment="1">
      <alignment horizontal="center" vertical="center"/>
    </xf>
    <xf numFmtId="0" fontId="85" fillId="7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horizontal="right" vertical="center"/>
    </xf>
    <xf numFmtId="4" fontId="1" fillId="0" borderId="0" xfId="0" applyNumberFormat="1" applyFont="1" applyFill="1" applyBorder="1" applyAlignment="1">
      <alignment horizontal="right" vertical="center"/>
    </xf>
    <xf numFmtId="0" fontId="55" fillId="0" borderId="17" xfId="0" applyFont="1" applyFill="1" applyBorder="1" applyAlignment="1">
      <alignment vertical="top" wrapText="1"/>
    </xf>
    <xf numFmtId="0" fontId="53" fillId="0" borderId="17" xfId="0" applyFont="1" applyFill="1" applyBorder="1" applyAlignment="1">
      <alignment vertical="top" wrapText="1"/>
    </xf>
    <xf numFmtId="0" fontId="55" fillId="0" borderId="13" xfId="33" applyNumberFormat="1" applyFont="1" applyFill="1" applyBorder="1" applyAlignment="1">
      <alignment horizontal="left" vertical="top" wrapText="1" readingOrder="1"/>
      <protection/>
    </xf>
    <xf numFmtId="0" fontId="53" fillId="0" borderId="13" xfId="33" applyNumberFormat="1" applyFont="1" applyFill="1" applyBorder="1" applyAlignment="1">
      <alignment horizontal="left" vertical="top" wrapText="1" readingOrder="1"/>
      <protection/>
    </xf>
    <xf numFmtId="0" fontId="55" fillId="0" borderId="29" xfId="0" applyFont="1" applyFill="1" applyBorder="1" applyAlignment="1">
      <alignment horizontal="center" vertical="center"/>
    </xf>
    <xf numFmtId="0" fontId="55" fillId="0" borderId="28" xfId="0" applyFont="1" applyFill="1" applyBorder="1" applyAlignment="1">
      <alignment wrapText="1"/>
    </xf>
    <xf numFmtId="0" fontId="21" fillId="0" borderId="25" xfId="0" applyFont="1" applyFill="1" applyBorder="1" applyAlignment="1">
      <alignment vertical="top" wrapText="1"/>
    </xf>
    <xf numFmtId="0" fontId="58" fillId="0" borderId="27" xfId="33" applyNumberFormat="1" applyFont="1" applyFill="1" applyBorder="1" applyAlignment="1">
      <alignment horizontal="left" vertical="top" wrapText="1" readingOrder="1"/>
      <protection/>
    </xf>
    <xf numFmtId="0" fontId="1" fillId="0" borderId="17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center"/>
    </xf>
    <xf numFmtId="0" fontId="87" fillId="0" borderId="13" xfId="0" applyFont="1" applyFill="1" applyBorder="1" applyAlignment="1">
      <alignment wrapText="1"/>
    </xf>
    <xf numFmtId="0" fontId="85" fillId="0" borderId="13" xfId="0" applyFont="1" applyFill="1" applyBorder="1" applyAlignment="1">
      <alignment vertical="top" wrapText="1"/>
    </xf>
    <xf numFmtId="49" fontId="52" fillId="0" borderId="13" xfId="64" applyNumberFormat="1" applyFont="1" applyFill="1" applyBorder="1" applyAlignment="1">
      <alignment horizontal="center"/>
      <protection/>
    </xf>
    <xf numFmtId="0" fontId="49" fillId="0" borderId="17" xfId="64" applyFont="1" applyFill="1" applyBorder="1" applyAlignment="1">
      <alignment horizontal="left" wrapText="1"/>
      <protection/>
    </xf>
    <xf numFmtId="0" fontId="49" fillId="0" borderId="17" xfId="0" applyFont="1" applyFill="1" applyBorder="1" applyAlignment="1">
      <alignment horizontal="justify" wrapText="1"/>
    </xf>
    <xf numFmtId="49" fontId="1" fillId="0" borderId="13" xfId="64" applyNumberFormat="1" applyFont="1" applyFill="1" applyBorder="1" applyAlignment="1">
      <alignment horizontal="center" vertical="center"/>
      <protection/>
    </xf>
    <xf numFmtId="0" fontId="1" fillId="0" borderId="17" xfId="63" applyFont="1" applyFill="1" applyBorder="1" applyAlignment="1">
      <alignment horizontal="left" wrapText="1"/>
      <protection/>
    </xf>
    <xf numFmtId="0" fontId="1" fillId="0" borderId="17" xfId="63" applyFont="1" applyFill="1" applyBorder="1" applyAlignment="1">
      <alignment horizontal="left" vertical="center" wrapText="1"/>
      <protection/>
    </xf>
    <xf numFmtId="0" fontId="50" fillId="0" borderId="17" xfId="0" applyFont="1" applyFill="1" applyBorder="1" applyAlignment="1">
      <alignment horizontal="left" vertical="top" wrapText="1"/>
    </xf>
    <xf numFmtId="0" fontId="50" fillId="0" borderId="17" xfId="63" applyNumberFormat="1" applyFont="1" applyFill="1" applyBorder="1" applyAlignment="1">
      <alignment horizontal="left" vertical="top" wrapText="1"/>
      <protection/>
    </xf>
    <xf numFmtId="0" fontId="50" fillId="0" borderId="17" xfId="63" applyFont="1" applyFill="1" applyBorder="1" applyAlignment="1">
      <alignment horizontal="left" vertical="top" wrapText="1"/>
      <protection/>
    </xf>
    <xf numFmtId="4" fontId="1" fillId="0" borderId="13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50" fillId="0" borderId="17" xfId="0" applyFont="1" applyFill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top" wrapText="1"/>
    </xf>
    <xf numFmtId="0" fontId="52" fillId="0" borderId="17" xfId="0" applyFont="1" applyFill="1" applyBorder="1" applyAlignment="1">
      <alignment vertical="center"/>
    </xf>
    <xf numFmtId="0" fontId="52" fillId="0" borderId="17" xfId="0" applyFont="1" applyFill="1" applyBorder="1" applyAlignment="1">
      <alignment horizontal="left" vertical="top" wrapText="1"/>
    </xf>
    <xf numFmtId="0" fontId="83" fillId="0" borderId="13" xfId="0" applyFont="1" applyFill="1" applyBorder="1" applyAlignment="1">
      <alignment vertical="top" wrapText="1"/>
    </xf>
    <xf numFmtId="0" fontId="84" fillId="0" borderId="13" xfId="0" applyFont="1" applyBorder="1" applyAlignment="1">
      <alignment vertical="top" wrapText="1"/>
    </xf>
    <xf numFmtId="0" fontId="88" fillId="0" borderId="0" xfId="0" applyFont="1" applyAlignment="1">
      <alignment/>
    </xf>
    <xf numFmtId="49" fontId="52" fillId="0" borderId="13" xfId="60" applyNumberFormat="1" applyFont="1" applyFill="1" applyBorder="1" applyAlignment="1">
      <alignment horizontal="center" vertical="center" wrapText="1"/>
      <protection/>
    </xf>
    <xf numFmtId="49" fontId="1" fillId="0" borderId="13" xfId="60" applyNumberFormat="1" applyFont="1" applyFill="1" applyBorder="1" applyAlignment="1">
      <alignment horizontal="center" vertical="center" wrapText="1"/>
      <protection/>
    </xf>
    <xf numFmtId="0" fontId="55" fillId="0" borderId="17" xfId="0" applyFont="1" applyFill="1" applyBorder="1" applyAlignment="1">
      <alignment vertical="center" wrapText="1"/>
    </xf>
    <xf numFmtId="0" fontId="59" fillId="0" borderId="0" xfId="0" applyFont="1" applyFill="1" applyAlignment="1">
      <alignment/>
    </xf>
    <xf numFmtId="0" fontId="21" fillId="0" borderId="17" xfId="0" applyFont="1" applyFill="1" applyBorder="1" applyAlignment="1">
      <alignment vertical="top" wrapText="1"/>
    </xf>
    <xf numFmtId="0" fontId="52" fillId="0" borderId="17" xfId="0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horizontal="justify" vertical="top" wrapText="1"/>
    </xf>
    <xf numFmtId="0" fontId="22" fillId="0" borderId="17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0" borderId="17" xfId="64" applyFont="1" applyFill="1" applyBorder="1" applyAlignment="1">
      <alignment vertical="top" wrapText="1"/>
      <protection/>
    </xf>
    <xf numFmtId="49" fontId="1" fillId="0" borderId="13" xfId="62" applyNumberFormat="1" applyFont="1" applyFill="1" applyBorder="1" applyAlignment="1">
      <alignment horizontal="center" vertical="center"/>
      <protection/>
    </xf>
    <xf numFmtId="0" fontId="1" fillId="0" borderId="17" xfId="56" applyFont="1" applyFill="1" applyBorder="1" applyAlignment="1">
      <alignment vertical="top" wrapText="1"/>
      <protection/>
    </xf>
    <xf numFmtId="0" fontId="1" fillId="0" borderId="17" xfId="62" applyFont="1" applyFill="1" applyBorder="1" applyAlignment="1">
      <alignment vertical="top" wrapText="1"/>
      <protection/>
    </xf>
    <xf numFmtId="0" fontId="1" fillId="0" borderId="17" xfId="65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50" fillId="0" borderId="17" xfId="0" applyFont="1" applyFill="1" applyBorder="1" applyAlignment="1">
      <alignment vertical="top" wrapText="1"/>
    </xf>
    <xf numFmtId="0" fontId="50" fillId="0" borderId="17" xfId="64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vertical="center" wrapText="1"/>
    </xf>
    <xf numFmtId="49" fontId="52" fillId="0" borderId="13" xfId="59" applyNumberFormat="1" applyFont="1" applyFill="1" applyBorder="1" applyAlignment="1">
      <alignment horizontal="center" vertical="center"/>
      <protection/>
    </xf>
    <xf numFmtId="0" fontId="49" fillId="0" borderId="17" xfId="59" applyFont="1" applyFill="1" applyBorder="1" applyAlignment="1">
      <alignment vertical="center"/>
      <protection/>
    </xf>
    <xf numFmtId="4" fontId="49" fillId="0" borderId="13" xfId="0" applyNumberFormat="1" applyFont="1" applyFill="1" applyBorder="1" applyAlignment="1">
      <alignment vertical="center" wrapText="1"/>
    </xf>
    <xf numFmtId="0" fontId="55" fillId="0" borderId="17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vertical="top" wrapText="1"/>
    </xf>
    <xf numFmtId="0" fontId="53" fillId="0" borderId="17" xfId="0" applyFont="1" applyFill="1" applyBorder="1" applyAlignment="1">
      <alignment horizontal="center" vertical="center"/>
    </xf>
    <xf numFmtId="0" fontId="84" fillId="0" borderId="13" xfId="0" applyFont="1" applyBorder="1" applyAlignment="1">
      <alignment/>
    </xf>
    <xf numFmtId="0" fontId="82" fillId="0" borderId="13" xfId="0" applyFont="1" applyBorder="1" applyAlignment="1">
      <alignment/>
    </xf>
    <xf numFmtId="0" fontId="82" fillId="0" borderId="17" xfId="0" applyFont="1" applyBorder="1" applyAlignment="1">
      <alignment/>
    </xf>
    <xf numFmtId="49" fontId="52" fillId="0" borderId="13" xfId="0" applyNumberFormat="1" applyFont="1" applyFill="1" applyBorder="1" applyAlignment="1">
      <alignment horizontal="center"/>
    </xf>
    <xf numFmtId="0" fontId="52" fillId="0" borderId="17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left" vertical="center" wrapText="1"/>
    </xf>
    <xf numFmtId="4" fontId="50" fillId="0" borderId="0" xfId="0" applyNumberFormat="1" applyFont="1" applyFill="1" applyBorder="1" applyAlignment="1">
      <alignment vertical="center" wrapText="1"/>
    </xf>
    <xf numFmtId="4" fontId="50" fillId="0" borderId="0" xfId="0" applyNumberFormat="1" applyFont="1" applyFill="1" applyBorder="1" applyAlignment="1">
      <alignment wrapText="1"/>
    </xf>
    <xf numFmtId="0" fontId="55" fillId="0" borderId="30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0" fontId="55" fillId="0" borderId="25" xfId="0" applyNumberFormat="1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left" vertical="center" wrapText="1"/>
    </xf>
    <xf numFmtId="4" fontId="55" fillId="0" borderId="13" xfId="0" applyNumberFormat="1" applyFont="1" applyFill="1" applyBorder="1" applyAlignment="1">
      <alignment vertical="center" wrapText="1"/>
    </xf>
    <xf numFmtId="4" fontId="58" fillId="0" borderId="13" xfId="0" applyNumberFormat="1" applyFont="1" applyFill="1" applyBorder="1" applyAlignment="1">
      <alignment vertical="center" wrapText="1"/>
    </xf>
    <xf numFmtId="4" fontId="58" fillId="0" borderId="0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82" fillId="0" borderId="31" xfId="0" applyFont="1" applyBorder="1" applyAlignment="1">
      <alignment wrapText="1"/>
    </xf>
    <xf numFmtId="4" fontId="21" fillId="0" borderId="18" xfId="0" applyNumberFormat="1" applyFont="1" applyFill="1" applyBorder="1" applyAlignment="1">
      <alignment vertical="center" wrapText="1"/>
    </xf>
    <xf numFmtId="174" fontId="0" fillId="0" borderId="0" xfId="0" applyNumberFormat="1" applyAlignment="1">
      <alignment horizontal="right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30.04.10г." xfId="59"/>
    <cellStyle name="Обычный_Лист1" xfId="60"/>
    <cellStyle name="Обычный_Пр.1 30.04." xfId="61"/>
    <cellStyle name="Обычный_Пр.4 30.05.08г." xfId="62"/>
    <cellStyle name="Обычный_Прил.4" xfId="63"/>
    <cellStyle name="Обычный_Прил.4." xfId="64"/>
    <cellStyle name="Обычный_Ут. на остатки" xfId="65"/>
    <cellStyle name="Обычный_уточненное прилож№1 б-та2002г.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J31" sqref="J31"/>
    </sheetView>
  </sheetViews>
  <sheetFormatPr defaultColWidth="9.00390625" defaultRowHeight="21.75" customHeight="1"/>
  <cols>
    <col min="1" max="1" width="26.25390625" style="0" customWidth="1"/>
    <col min="2" max="2" width="43.00390625" style="0" customWidth="1"/>
    <col min="3" max="3" width="14.625" style="108" customWidth="1"/>
    <col min="4" max="4" width="0.12890625" style="0" hidden="1" customWidth="1"/>
    <col min="5" max="5" width="14.375" style="0" customWidth="1"/>
    <col min="6" max="6" width="9.125" style="0" hidden="1" customWidth="1"/>
    <col min="7" max="7" width="10.125" style="0" hidden="1" customWidth="1"/>
    <col min="8" max="8" width="15.375" style="118" customWidth="1"/>
    <col min="9" max="9" width="15.875" style="100" customWidth="1"/>
    <col min="10" max="10" width="18.375" style="0" customWidth="1"/>
    <col min="11" max="11" width="19.75390625" style="100" customWidth="1"/>
    <col min="12" max="12" width="16.75390625" style="0" customWidth="1"/>
  </cols>
  <sheetData>
    <row r="1" spans="1:11" s="1" customFormat="1" ht="15.75">
      <c r="A1" s="292" t="s">
        <v>1</v>
      </c>
      <c r="B1" s="292"/>
      <c r="C1" s="292"/>
      <c r="D1" s="292"/>
      <c r="E1" s="292"/>
      <c r="H1" s="153"/>
      <c r="I1" s="98"/>
      <c r="K1" s="98"/>
    </row>
    <row r="2" spans="1:11" s="1" customFormat="1" ht="12.75">
      <c r="A2" s="291" t="s">
        <v>92</v>
      </c>
      <c r="B2" s="291"/>
      <c r="C2" s="291"/>
      <c r="D2" s="291"/>
      <c r="E2" s="291"/>
      <c r="H2" s="153"/>
      <c r="I2" s="98"/>
      <c r="K2" s="98"/>
    </row>
    <row r="3" spans="1:11" s="1" customFormat="1" ht="12.75">
      <c r="A3" s="291" t="s">
        <v>93</v>
      </c>
      <c r="B3" s="291"/>
      <c r="C3" s="291"/>
      <c r="D3" s="291"/>
      <c r="E3" s="291"/>
      <c r="H3" s="153"/>
      <c r="I3" s="98"/>
      <c r="K3" s="98"/>
    </row>
    <row r="4" spans="1:11" s="29" customFormat="1" ht="9" customHeight="1">
      <c r="A4" s="22"/>
      <c r="B4" s="2"/>
      <c r="C4" s="2"/>
      <c r="D4" s="2"/>
      <c r="E4" s="2"/>
      <c r="H4" s="154"/>
      <c r="I4" s="99"/>
      <c r="K4" s="99"/>
    </row>
    <row r="5" spans="1:11" s="29" customFormat="1" ht="28.5" customHeight="1" hidden="1">
      <c r="A5" s="22"/>
      <c r="B5" s="294" t="s">
        <v>24</v>
      </c>
      <c r="C5" s="294"/>
      <c r="D5" s="22"/>
      <c r="H5" s="154"/>
      <c r="I5" s="99"/>
      <c r="K5" s="99"/>
    </row>
    <row r="6" spans="1:11" s="29" customFormat="1" ht="12.75" customHeight="1" hidden="1">
      <c r="A6" s="22"/>
      <c r="B6" s="291" t="s">
        <v>30</v>
      </c>
      <c r="C6" s="291"/>
      <c r="H6" s="154"/>
      <c r="I6" s="99"/>
      <c r="K6" s="99"/>
    </row>
    <row r="7" spans="1:5" ht="34.5" customHeight="1">
      <c r="A7" s="3"/>
      <c r="B7" s="287" t="s">
        <v>161</v>
      </c>
      <c r="C7" s="287"/>
      <c r="D7" s="287"/>
      <c r="E7" s="287"/>
    </row>
    <row r="8" spans="1:4" ht="36.75" customHeight="1">
      <c r="A8" s="290" t="s">
        <v>85</v>
      </c>
      <c r="B8" s="290"/>
      <c r="C8" s="290"/>
      <c r="D8" s="290"/>
    </row>
    <row r="9" spans="1:5" ht="38.25" customHeight="1">
      <c r="A9" s="293" t="s">
        <v>86</v>
      </c>
      <c r="B9" s="293"/>
      <c r="C9" s="293"/>
      <c r="D9" s="293"/>
      <c r="E9" s="293"/>
    </row>
    <row r="10" spans="1:5" ht="15.75" customHeight="1">
      <c r="A10" s="290" t="s">
        <v>139</v>
      </c>
      <c r="B10" s="290"/>
      <c r="C10" s="290"/>
      <c r="D10" s="290"/>
      <c r="E10" s="290"/>
    </row>
    <row r="11" spans="3:5" ht="13.5" customHeight="1">
      <c r="C11" s="101"/>
      <c r="E11" t="s">
        <v>94</v>
      </c>
    </row>
    <row r="12" spans="1:8" ht="38.25" customHeight="1">
      <c r="A12" s="25" t="s">
        <v>81</v>
      </c>
      <c r="B12" s="25" t="s">
        <v>2</v>
      </c>
      <c r="C12" s="150" t="s">
        <v>140</v>
      </c>
      <c r="D12" s="117"/>
      <c r="E12" s="31">
        <v>2025</v>
      </c>
      <c r="F12" s="3"/>
      <c r="G12" s="3"/>
      <c r="H12" s="155">
        <v>2026</v>
      </c>
    </row>
    <row r="13" spans="1:8" ht="12.75" customHeight="1">
      <c r="A13" s="113">
        <v>1</v>
      </c>
      <c r="B13" s="113">
        <v>2</v>
      </c>
      <c r="C13" s="114">
        <v>3</v>
      </c>
      <c r="D13" s="3"/>
      <c r="E13" s="112">
        <v>4</v>
      </c>
      <c r="H13" s="115"/>
    </row>
    <row r="14" spans="1:11" s="23" customFormat="1" ht="1.5" customHeight="1" hidden="1">
      <c r="A14" s="26" t="s">
        <v>3</v>
      </c>
      <c r="B14" s="27" t="s">
        <v>4</v>
      </c>
      <c r="C14" s="102">
        <f>C15+C38</f>
        <v>15600000</v>
      </c>
      <c r="D14" s="109">
        <f>D15</f>
        <v>21657</v>
      </c>
      <c r="E14" s="111"/>
      <c r="H14" s="156"/>
      <c r="I14" s="103"/>
      <c r="K14" s="103"/>
    </row>
    <row r="15" spans="1:8" ht="24.75" customHeight="1">
      <c r="A15" s="33" t="s">
        <v>5</v>
      </c>
      <c r="B15" s="34" t="s">
        <v>6</v>
      </c>
      <c r="C15" s="104">
        <f aca="true" t="shared" si="0" ref="C15:H15">C21+C29+C16+C38</f>
        <v>15600000</v>
      </c>
      <c r="D15" s="104">
        <f t="shared" si="0"/>
        <v>21657</v>
      </c>
      <c r="E15" s="104">
        <f t="shared" si="0"/>
        <v>0</v>
      </c>
      <c r="F15" s="104">
        <f t="shared" si="0"/>
        <v>51526194</v>
      </c>
      <c r="G15" s="104">
        <f t="shared" si="0"/>
        <v>51526194</v>
      </c>
      <c r="H15" s="104">
        <f t="shared" si="0"/>
        <v>0</v>
      </c>
    </row>
    <row r="16" spans="1:8" ht="24.75" customHeight="1" hidden="1">
      <c r="A16" s="26" t="s">
        <v>63</v>
      </c>
      <c r="B16" s="32" t="s">
        <v>62</v>
      </c>
      <c r="C16" s="104">
        <f>C17+C20</f>
        <v>0</v>
      </c>
      <c r="D16" s="104">
        <f>D17+D20</f>
        <v>0</v>
      </c>
      <c r="E16" s="104">
        <f>E17+E20</f>
        <v>0</v>
      </c>
      <c r="H16" s="115"/>
    </row>
    <row r="17" spans="1:8" ht="1.5" customHeight="1" hidden="1">
      <c r="A17" s="33" t="s">
        <v>61</v>
      </c>
      <c r="B17" s="34" t="s">
        <v>64</v>
      </c>
      <c r="C17" s="104">
        <f>C18</f>
        <v>0</v>
      </c>
      <c r="D17" s="104">
        <f>D18</f>
        <v>0</v>
      </c>
      <c r="E17" s="104">
        <f>E18</f>
        <v>0</v>
      </c>
      <c r="H17" s="115"/>
    </row>
    <row r="18" spans="1:8" ht="39" customHeight="1" hidden="1">
      <c r="A18" s="38" t="s">
        <v>25</v>
      </c>
      <c r="B18" s="34" t="s">
        <v>65</v>
      </c>
      <c r="C18" s="104">
        <v>0</v>
      </c>
      <c r="D18" s="104">
        <v>0</v>
      </c>
      <c r="E18" s="104">
        <v>0</v>
      </c>
      <c r="H18" s="115"/>
    </row>
    <row r="19" spans="1:8" ht="39" customHeight="1" hidden="1">
      <c r="A19" s="38" t="s">
        <v>26</v>
      </c>
      <c r="B19" s="94" t="s">
        <v>83</v>
      </c>
      <c r="C19" s="104">
        <v>0</v>
      </c>
      <c r="D19" s="104">
        <v>0</v>
      </c>
      <c r="E19" s="104">
        <v>0</v>
      </c>
      <c r="H19" s="115"/>
    </row>
    <row r="20" spans="1:8" ht="39" customHeight="1" hidden="1">
      <c r="A20" s="38" t="s">
        <v>27</v>
      </c>
      <c r="B20" s="94" t="s">
        <v>84</v>
      </c>
      <c r="C20" s="104">
        <v>0</v>
      </c>
      <c r="D20" s="104">
        <v>0</v>
      </c>
      <c r="E20" s="104">
        <v>0</v>
      </c>
      <c r="H20" s="115"/>
    </row>
    <row r="21" spans="1:11" ht="38.25">
      <c r="A21" s="26" t="s">
        <v>7</v>
      </c>
      <c r="B21" s="95" t="s">
        <v>137</v>
      </c>
      <c r="C21" s="102">
        <f aca="true" t="shared" si="1" ref="C21:H21">C22+C25</f>
        <v>2600000</v>
      </c>
      <c r="D21" s="102">
        <f t="shared" si="1"/>
        <v>21657</v>
      </c>
      <c r="E21" s="102">
        <f t="shared" si="1"/>
        <v>0</v>
      </c>
      <c r="F21" s="102">
        <f t="shared" si="1"/>
        <v>0</v>
      </c>
      <c r="G21" s="102">
        <f t="shared" si="1"/>
        <v>0</v>
      </c>
      <c r="H21" s="102">
        <f t="shared" si="1"/>
        <v>0</v>
      </c>
      <c r="J21" s="288"/>
      <c r="K21" s="288"/>
    </row>
    <row r="22" spans="1:11" ht="38.25">
      <c r="A22" s="38" t="s">
        <v>87</v>
      </c>
      <c r="B22" s="159" t="s">
        <v>136</v>
      </c>
      <c r="C22" s="104">
        <f aca="true" t="shared" si="2" ref="C22:H22">C23</f>
        <v>2600000</v>
      </c>
      <c r="D22" s="104">
        <f t="shared" si="2"/>
        <v>21657</v>
      </c>
      <c r="E22" s="104">
        <f t="shared" si="2"/>
        <v>0</v>
      </c>
      <c r="F22" s="104">
        <f t="shared" si="2"/>
        <v>0</v>
      </c>
      <c r="G22" s="104">
        <f t="shared" si="2"/>
        <v>0</v>
      </c>
      <c r="H22" s="104">
        <f t="shared" si="2"/>
        <v>0</v>
      </c>
      <c r="J22" s="289"/>
      <c r="K22" s="289"/>
    </row>
    <row r="23" spans="1:12" ht="51">
      <c r="A23" s="38" t="s">
        <v>88</v>
      </c>
      <c r="B23" s="119" t="s">
        <v>138</v>
      </c>
      <c r="C23" s="104">
        <v>2600000</v>
      </c>
      <c r="D23" s="110">
        <v>21657</v>
      </c>
      <c r="E23" s="115">
        <v>0</v>
      </c>
      <c r="G23" s="24"/>
      <c r="H23" s="115">
        <v>0</v>
      </c>
      <c r="I23" s="105"/>
      <c r="J23" s="151"/>
      <c r="K23" s="151"/>
      <c r="L23" s="151"/>
    </row>
    <row r="24" spans="1:12" ht="42.75" customHeight="1">
      <c r="A24" s="38" t="s">
        <v>105</v>
      </c>
      <c r="B24" s="119" t="s">
        <v>104</v>
      </c>
      <c r="C24" s="104">
        <v>2600000</v>
      </c>
      <c r="D24" s="110"/>
      <c r="E24" s="115">
        <v>0</v>
      </c>
      <c r="G24" s="24"/>
      <c r="H24" s="115">
        <v>0</v>
      </c>
      <c r="I24" s="105"/>
      <c r="J24" s="152"/>
      <c r="K24" s="152"/>
      <c r="L24" s="152"/>
    </row>
    <row r="25" spans="1:12" ht="51">
      <c r="A25" s="38" t="s">
        <v>89</v>
      </c>
      <c r="B25" s="119" t="s">
        <v>159</v>
      </c>
      <c r="C25" s="104">
        <f aca="true" t="shared" si="3" ref="C25:H27">C26</f>
        <v>0</v>
      </c>
      <c r="D25" s="104">
        <f t="shared" si="3"/>
        <v>0</v>
      </c>
      <c r="E25" s="104">
        <f t="shared" si="3"/>
        <v>0</v>
      </c>
      <c r="F25" s="104">
        <f t="shared" si="3"/>
        <v>0</v>
      </c>
      <c r="G25" s="104">
        <f t="shared" si="3"/>
        <v>0</v>
      </c>
      <c r="H25" s="104">
        <f t="shared" si="3"/>
        <v>0</v>
      </c>
      <c r="J25" s="118"/>
      <c r="K25" s="118"/>
      <c r="L25" s="118"/>
    </row>
    <row r="26" spans="1:12" ht="51">
      <c r="A26" s="38" t="s">
        <v>90</v>
      </c>
      <c r="B26" s="119" t="s">
        <v>160</v>
      </c>
      <c r="C26" s="104">
        <f t="shared" si="3"/>
        <v>0</v>
      </c>
      <c r="D26" s="104">
        <f t="shared" si="3"/>
        <v>0</v>
      </c>
      <c r="E26" s="104">
        <f t="shared" si="3"/>
        <v>0</v>
      </c>
      <c r="H26" s="115">
        <v>0</v>
      </c>
      <c r="I26" s="118"/>
      <c r="J26" s="118"/>
      <c r="K26" s="118"/>
      <c r="L26" s="118"/>
    </row>
    <row r="27" spans="1:12" ht="36" customHeight="1">
      <c r="A27" s="38" t="s">
        <v>96</v>
      </c>
      <c r="B27" s="119" t="s">
        <v>97</v>
      </c>
      <c r="C27" s="104">
        <f t="shared" si="3"/>
        <v>0</v>
      </c>
      <c r="D27" s="104">
        <f t="shared" si="3"/>
        <v>0</v>
      </c>
      <c r="E27" s="104">
        <v>0</v>
      </c>
      <c r="H27" s="115">
        <v>0</v>
      </c>
      <c r="I27" s="118"/>
      <c r="J27" s="118"/>
      <c r="K27" s="118"/>
      <c r="L27" s="108"/>
    </row>
    <row r="28" spans="1:12" ht="67.5" customHeight="1">
      <c r="A28" s="38" t="s">
        <v>106</v>
      </c>
      <c r="B28" s="119" t="s">
        <v>98</v>
      </c>
      <c r="C28" s="104">
        <v>0</v>
      </c>
      <c r="D28" s="110"/>
      <c r="E28" s="115">
        <v>0</v>
      </c>
      <c r="H28" s="115">
        <v>0</v>
      </c>
      <c r="I28" s="118"/>
      <c r="J28" s="118"/>
      <c r="K28" s="118"/>
      <c r="L28" s="118"/>
    </row>
    <row r="29" spans="1:11" ht="25.5" customHeight="1">
      <c r="A29" s="26" t="s">
        <v>8</v>
      </c>
      <c r="B29" s="27" t="s">
        <v>9</v>
      </c>
      <c r="C29" s="102">
        <f aca="true" t="shared" si="4" ref="C29:H29">C30+C34</f>
        <v>13000000</v>
      </c>
      <c r="D29" s="102">
        <f t="shared" si="4"/>
        <v>0</v>
      </c>
      <c r="E29" s="102">
        <f t="shared" si="4"/>
        <v>0</v>
      </c>
      <c r="F29" s="102">
        <f t="shared" si="4"/>
        <v>51526194</v>
      </c>
      <c r="G29" s="102">
        <f t="shared" si="4"/>
        <v>51526194</v>
      </c>
      <c r="H29" s="102">
        <f t="shared" si="4"/>
        <v>0</v>
      </c>
      <c r="K29" s="118"/>
    </row>
    <row r="30" spans="1:12" ht="12.75">
      <c r="A30" s="33" t="s">
        <v>10</v>
      </c>
      <c r="B30" s="35" t="s">
        <v>11</v>
      </c>
      <c r="C30" s="104">
        <f aca="true" t="shared" si="5" ref="C30:G32">C31</f>
        <v>-772456049</v>
      </c>
      <c r="D30" s="104">
        <f t="shared" si="5"/>
        <v>-663084358</v>
      </c>
      <c r="E30" s="104">
        <f>E31</f>
        <v>-818315799</v>
      </c>
      <c r="F30" s="104">
        <f>F31</f>
        <v>-671047658</v>
      </c>
      <c r="G30" s="104">
        <f>G31</f>
        <v>-671047658</v>
      </c>
      <c r="H30" s="104">
        <f>H31</f>
        <v>-850892330</v>
      </c>
      <c r="J30" s="118"/>
      <c r="K30" s="118"/>
      <c r="L30" s="118"/>
    </row>
    <row r="31" spans="1:9" ht="21" customHeight="1">
      <c r="A31" s="33" t="s">
        <v>12</v>
      </c>
      <c r="B31" s="36" t="s">
        <v>13</v>
      </c>
      <c r="C31" s="104">
        <f t="shared" si="5"/>
        <v>-772456049</v>
      </c>
      <c r="D31" s="104">
        <f t="shared" si="5"/>
        <v>-663084358</v>
      </c>
      <c r="E31" s="104">
        <f t="shared" si="5"/>
        <v>-818315799</v>
      </c>
      <c r="F31" s="104">
        <f t="shared" si="5"/>
        <v>-671047658</v>
      </c>
      <c r="G31" s="104">
        <f t="shared" si="5"/>
        <v>-671047658</v>
      </c>
      <c r="H31" s="104">
        <f>H32</f>
        <v>-850892330</v>
      </c>
      <c r="I31" s="285"/>
    </row>
    <row r="32" spans="1:10" ht="25.5">
      <c r="A32" s="33" t="s">
        <v>14</v>
      </c>
      <c r="B32" s="35" t="s">
        <v>15</v>
      </c>
      <c r="C32" s="104">
        <f t="shared" si="5"/>
        <v>-772456049</v>
      </c>
      <c r="D32" s="104">
        <f t="shared" si="5"/>
        <v>-663084358</v>
      </c>
      <c r="E32" s="104">
        <f t="shared" si="5"/>
        <v>-818315799</v>
      </c>
      <c r="F32" s="104">
        <f t="shared" si="5"/>
        <v>-671047658</v>
      </c>
      <c r="G32" s="104">
        <f t="shared" si="5"/>
        <v>-671047658</v>
      </c>
      <c r="H32" s="104">
        <f>H33</f>
        <v>-850892330</v>
      </c>
      <c r="I32" s="285"/>
      <c r="J32" s="286"/>
    </row>
    <row r="33" spans="1:9" ht="25.5">
      <c r="A33" s="33" t="s">
        <v>16</v>
      </c>
      <c r="B33" s="35" t="s">
        <v>82</v>
      </c>
      <c r="C33" s="104">
        <f>-769356049-C42-C24</f>
        <v>-772456049</v>
      </c>
      <c r="D33" s="104">
        <f>-663084358-D42</f>
        <v>-663084358</v>
      </c>
      <c r="E33" s="104">
        <f>-817815799-E42-E24</f>
        <v>-818315799</v>
      </c>
      <c r="F33" s="104">
        <f>-671047658-F42</f>
        <v>-671047658</v>
      </c>
      <c r="G33" s="104">
        <f>-671047658-G42</f>
        <v>-671047658</v>
      </c>
      <c r="H33" s="157">
        <f>-850392330-H24-H42</f>
        <v>-850892330</v>
      </c>
      <c r="I33" s="285"/>
    </row>
    <row r="34" spans="1:8" ht="14.25" customHeight="1">
      <c r="A34" s="33" t="s">
        <v>17</v>
      </c>
      <c r="B34" s="35" t="s">
        <v>18</v>
      </c>
      <c r="C34" s="104">
        <f aca="true" t="shared" si="6" ref="C34:H36">C35</f>
        <v>785456049</v>
      </c>
      <c r="D34" s="104">
        <f t="shared" si="6"/>
        <v>663084358</v>
      </c>
      <c r="E34" s="104">
        <f t="shared" si="6"/>
        <v>818315799</v>
      </c>
      <c r="F34" s="104">
        <f t="shared" si="6"/>
        <v>722573852</v>
      </c>
      <c r="G34" s="104">
        <f t="shared" si="6"/>
        <v>722573852</v>
      </c>
      <c r="H34" s="104">
        <f t="shared" si="6"/>
        <v>850892330</v>
      </c>
    </row>
    <row r="35" spans="1:8" ht="25.5">
      <c r="A35" s="33" t="s">
        <v>19</v>
      </c>
      <c r="B35" s="37" t="s">
        <v>20</v>
      </c>
      <c r="C35" s="104">
        <f t="shared" si="6"/>
        <v>785456049</v>
      </c>
      <c r="D35" s="104">
        <f t="shared" si="6"/>
        <v>663084358</v>
      </c>
      <c r="E35" s="104">
        <f t="shared" si="6"/>
        <v>818315799</v>
      </c>
      <c r="F35" s="104">
        <f t="shared" si="6"/>
        <v>722573852</v>
      </c>
      <c r="G35" s="104">
        <f t="shared" si="6"/>
        <v>722573852</v>
      </c>
      <c r="H35" s="104">
        <f t="shared" si="6"/>
        <v>850892330</v>
      </c>
    </row>
    <row r="36" spans="1:8" ht="25.5">
      <c r="A36" s="33" t="s">
        <v>21</v>
      </c>
      <c r="B36" s="35" t="s">
        <v>22</v>
      </c>
      <c r="C36" s="104">
        <f t="shared" si="6"/>
        <v>785456049</v>
      </c>
      <c r="D36" s="104">
        <f t="shared" si="6"/>
        <v>663084358</v>
      </c>
      <c r="E36" s="104">
        <f t="shared" si="6"/>
        <v>818315799</v>
      </c>
      <c r="F36" s="104">
        <f t="shared" si="6"/>
        <v>722573852</v>
      </c>
      <c r="G36" s="104">
        <f t="shared" si="6"/>
        <v>722573852</v>
      </c>
      <c r="H36" s="104">
        <f t="shared" si="6"/>
        <v>850892330</v>
      </c>
    </row>
    <row r="37" spans="1:10" ht="25.5">
      <c r="A37" s="33" t="s">
        <v>23</v>
      </c>
      <c r="B37" s="35" t="s">
        <v>0</v>
      </c>
      <c r="C37" s="104">
        <f>784956049-C45-C28</f>
        <v>785456049</v>
      </c>
      <c r="D37" s="104">
        <f>663084358-D45</f>
        <v>663084358</v>
      </c>
      <c r="E37" s="104">
        <f>817815799-E45-E28</f>
        <v>818315799</v>
      </c>
      <c r="F37" s="104">
        <f>722573852-F45</f>
        <v>722573852</v>
      </c>
      <c r="G37" s="104">
        <f>722573852-G45</f>
        <v>722573852</v>
      </c>
      <c r="H37" s="104">
        <f>850392330-H45-H28</f>
        <v>850892330</v>
      </c>
      <c r="J37" s="23"/>
    </row>
    <row r="38" spans="1:8" ht="25.5">
      <c r="A38" s="96" t="s">
        <v>51</v>
      </c>
      <c r="B38" s="97" t="s">
        <v>52</v>
      </c>
      <c r="C38" s="106">
        <f aca="true" t="shared" si="7" ref="C38:H38">C39</f>
        <v>0</v>
      </c>
      <c r="D38" s="106">
        <f t="shared" si="7"/>
        <v>0</v>
      </c>
      <c r="E38" s="106">
        <f t="shared" si="7"/>
        <v>0</v>
      </c>
      <c r="F38" s="106">
        <f t="shared" si="7"/>
        <v>0</v>
      </c>
      <c r="G38" s="106">
        <f t="shared" si="7"/>
        <v>0</v>
      </c>
      <c r="H38" s="106">
        <f t="shared" si="7"/>
        <v>0</v>
      </c>
    </row>
    <row r="39" spans="1:8" ht="25.5">
      <c r="A39" s="122" t="s">
        <v>53</v>
      </c>
      <c r="B39" s="123" t="s">
        <v>54</v>
      </c>
      <c r="C39" s="106">
        <f aca="true" t="shared" si="8" ref="C39:H39">C40+C43</f>
        <v>0</v>
      </c>
      <c r="D39" s="106">
        <f t="shared" si="8"/>
        <v>0</v>
      </c>
      <c r="E39" s="106">
        <f t="shared" si="8"/>
        <v>0</v>
      </c>
      <c r="F39" s="106">
        <f t="shared" si="8"/>
        <v>0</v>
      </c>
      <c r="G39" s="106">
        <f t="shared" si="8"/>
        <v>0</v>
      </c>
      <c r="H39" s="106">
        <f t="shared" si="8"/>
        <v>0</v>
      </c>
    </row>
    <row r="40" spans="1:8" ht="38.25">
      <c r="A40" s="120" t="s">
        <v>55</v>
      </c>
      <c r="B40" s="121" t="s">
        <v>56</v>
      </c>
      <c r="C40" s="107">
        <f aca="true" t="shared" si="9" ref="C40:H41">C41</f>
        <v>500000</v>
      </c>
      <c r="D40" s="107">
        <f t="shared" si="9"/>
        <v>0</v>
      </c>
      <c r="E40" s="107">
        <f t="shared" si="9"/>
        <v>500000</v>
      </c>
      <c r="F40" s="107">
        <f t="shared" si="9"/>
        <v>0</v>
      </c>
      <c r="G40" s="107">
        <f t="shared" si="9"/>
        <v>0</v>
      </c>
      <c r="H40" s="107">
        <f t="shared" si="9"/>
        <v>500000</v>
      </c>
    </row>
    <row r="41" spans="1:8" ht="63.75">
      <c r="A41" s="120" t="s">
        <v>57</v>
      </c>
      <c r="B41" s="121" t="s">
        <v>99</v>
      </c>
      <c r="C41" s="107">
        <f t="shared" si="9"/>
        <v>500000</v>
      </c>
      <c r="D41" s="107">
        <f t="shared" si="9"/>
        <v>0</v>
      </c>
      <c r="E41" s="107">
        <f t="shared" si="9"/>
        <v>500000</v>
      </c>
      <c r="F41" s="107">
        <f t="shared" si="9"/>
        <v>0</v>
      </c>
      <c r="G41" s="107">
        <f t="shared" si="9"/>
        <v>0</v>
      </c>
      <c r="H41" s="107">
        <f t="shared" si="9"/>
        <v>500000</v>
      </c>
    </row>
    <row r="42" spans="1:8" ht="63.75">
      <c r="A42" s="120" t="s">
        <v>100</v>
      </c>
      <c r="B42" s="121" t="s">
        <v>101</v>
      </c>
      <c r="C42" s="107">
        <v>500000</v>
      </c>
      <c r="D42" s="107"/>
      <c r="E42" s="107">
        <v>500000</v>
      </c>
      <c r="H42" s="115">
        <v>500000</v>
      </c>
    </row>
    <row r="43" spans="1:8" ht="25.5">
      <c r="A43" s="120" t="s">
        <v>58</v>
      </c>
      <c r="B43" s="121" t="s">
        <v>59</v>
      </c>
      <c r="C43" s="107">
        <f aca="true" t="shared" si="10" ref="C43:H44">C44</f>
        <v>-500000</v>
      </c>
      <c r="D43" s="107">
        <f t="shared" si="10"/>
        <v>0</v>
      </c>
      <c r="E43" s="107">
        <f t="shared" si="10"/>
        <v>-500000</v>
      </c>
      <c r="F43" s="107">
        <f t="shared" si="10"/>
        <v>0</v>
      </c>
      <c r="G43" s="107">
        <f t="shared" si="10"/>
        <v>0</v>
      </c>
      <c r="H43" s="107">
        <f t="shared" si="10"/>
        <v>-500000</v>
      </c>
    </row>
    <row r="44" spans="1:8" ht="51">
      <c r="A44" s="120" t="s">
        <v>60</v>
      </c>
      <c r="B44" s="121" t="s">
        <v>102</v>
      </c>
      <c r="C44" s="107">
        <f t="shared" si="10"/>
        <v>-500000</v>
      </c>
      <c r="D44" s="107">
        <f t="shared" si="10"/>
        <v>0</v>
      </c>
      <c r="E44" s="107">
        <f t="shared" si="10"/>
        <v>-500000</v>
      </c>
      <c r="F44" s="107">
        <f t="shared" si="10"/>
        <v>0</v>
      </c>
      <c r="G44" s="107">
        <f t="shared" si="10"/>
        <v>0</v>
      </c>
      <c r="H44" s="107">
        <f t="shared" si="10"/>
        <v>-500000</v>
      </c>
    </row>
    <row r="45" spans="1:8" ht="63.75">
      <c r="A45" s="120" t="s">
        <v>91</v>
      </c>
      <c r="B45" s="121" t="s">
        <v>103</v>
      </c>
      <c r="C45" s="107">
        <v>-500000</v>
      </c>
      <c r="D45" s="107"/>
      <c r="E45" s="107">
        <v>-500000</v>
      </c>
      <c r="H45" s="115">
        <v>-500000</v>
      </c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>
      <c r="B56" s="23"/>
    </row>
    <row r="57" ht="12.75">
      <c r="B57" s="23"/>
    </row>
    <row r="58" ht="12.75"/>
    <row r="59" ht="12.75"/>
    <row r="60" ht="12.75"/>
    <row r="61" ht="12.75"/>
    <row r="62" ht="12.75"/>
    <row r="63" ht="12.75"/>
    <row r="64" ht="12.75">
      <c r="B64" s="23"/>
    </row>
  </sheetData>
  <sheetProtection/>
  <mergeCells count="11">
    <mergeCell ref="B5:C5"/>
    <mergeCell ref="B7:E7"/>
    <mergeCell ref="J21:K21"/>
    <mergeCell ref="J22:K22"/>
    <mergeCell ref="A8:D8"/>
    <mergeCell ref="B6:C6"/>
    <mergeCell ref="A1:E1"/>
    <mergeCell ref="A2:E2"/>
    <mergeCell ref="A3:E3"/>
    <mergeCell ref="A9:E9"/>
    <mergeCell ref="A10:E10"/>
  </mergeCells>
  <printOptions/>
  <pageMargins left="0.3937007874015748" right="0" top="0.5905511811023623" bottom="0.5905511811023623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0">
      <selection activeCell="J19" sqref="J19"/>
    </sheetView>
  </sheetViews>
  <sheetFormatPr defaultColWidth="9.00390625" defaultRowHeight="12.75"/>
  <cols>
    <col min="1" max="1" width="4.00390625" style="0" customWidth="1"/>
    <col min="2" max="2" width="17.25390625" style="0" customWidth="1"/>
    <col min="3" max="3" width="17.375" style="0" customWidth="1"/>
    <col min="4" max="5" width="19.625" style="0" customWidth="1"/>
    <col min="6" max="6" width="20.375" style="0" customWidth="1"/>
    <col min="7" max="7" width="17.625" style="0" customWidth="1"/>
    <col min="8" max="8" width="19.75390625" style="0" customWidth="1"/>
    <col min="9" max="9" width="8.875" style="0" customWidth="1"/>
    <col min="10" max="10" width="7.25390625" style="0" customWidth="1"/>
    <col min="11" max="11" width="0.12890625" style="0" customWidth="1"/>
    <col min="14" max="14" width="12.00390625" style="0" customWidth="1"/>
  </cols>
  <sheetData>
    <row r="1" spans="6:16" s="1" customFormat="1" ht="12.75">
      <c r="F1" s="29"/>
      <c r="G1" s="29" t="s">
        <v>134</v>
      </c>
      <c r="H1" s="29"/>
      <c r="I1" s="29"/>
      <c r="K1" s="58"/>
      <c r="L1" s="59"/>
      <c r="M1" s="59"/>
      <c r="N1" s="59"/>
      <c r="O1" s="60"/>
      <c r="P1" s="61"/>
    </row>
    <row r="2" spans="6:16" s="1" customFormat="1" ht="12.75">
      <c r="F2" s="29"/>
      <c r="G2" s="29" t="s">
        <v>45</v>
      </c>
      <c r="H2" s="29"/>
      <c r="I2" s="29"/>
      <c r="J2" s="291"/>
      <c r="K2" s="291"/>
      <c r="L2" s="291"/>
      <c r="M2" s="291"/>
      <c r="N2" s="291"/>
      <c r="O2" s="291"/>
      <c r="P2" s="61"/>
    </row>
    <row r="3" spans="6:16" s="1" customFormat="1" ht="12.75">
      <c r="F3" s="29"/>
      <c r="G3" s="29" t="s">
        <v>46</v>
      </c>
      <c r="H3" s="29"/>
      <c r="I3" s="29"/>
      <c r="K3" s="58"/>
      <c r="L3" s="328"/>
      <c r="M3" s="328"/>
      <c r="N3" s="328"/>
      <c r="O3" s="328"/>
      <c r="P3" s="328"/>
    </row>
    <row r="4" spans="6:16" s="1" customFormat="1" ht="56.25" customHeight="1">
      <c r="F4" s="2"/>
      <c r="G4" s="329" t="s">
        <v>151</v>
      </c>
      <c r="H4" s="329"/>
      <c r="I4" s="2"/>
      <c r="K4" s="291"/>
      <c r="L4" s="291"/>
      <c r="M4" s="291"/>
      <c r="N4" s="291"/>
      <c r="O4" s="291"/>
      <c r="P4" s="61"/>
    </row>
    <row r="5" spans="6:16" s="1" customFormat="1" ht="16.5" customHeight="1">
      <c r="F5" s="29"/>
      <c r="G5" s="29" t="s">
        <v>164</v>
      </c>
      <c r="H5" s="29"/>
      <c r="I5" s="29"/>
      <c r="K5" s="58"/>
      <c r="L5" s="328"/>
      <c r="M5" s="328"/>
      <c r="N5" s="328"/>
      <c r="O5" s="328"/>
      <c r="P5" s="328"/>
    </row>
    <row r="6" spans="8:16" ht="12.75">
      <c r="H6" s="3"/>
      <c r="I6" s="3"/>
      <c r="J6" s="3"/>
      <c r="K6" s="3"/>
      <c r="L6" s="3"/>
      <c r="M6" s="3"/>
      <c r="N6" s="3"/>
      <c r="O6" s="3"/>
      <c r="P6" s="5"/>
    </row>
    <row r="7" spans="6:16" ht="12.75">
      <c r="F7" s="3"/>
      <c r="G7" s="3"/>
      <c r="H7" s="3"/>
      <c r="I7" s="3"/>
      <c r="J7" s="3"/>
      <c r="K7" s="3"/>
      <c r="L7" s="3"/>
      <c r="M7" s="3"/>
      <c r="N7" s="3"/>
      <c r="O7" s="3"/>
      <c r="P7" s="5"/>
    </row>
    <row r="8" spans="2:15" ht="18">
      <c r="B8" s="290" t="s">
        <v>47</v>
      </c>
      <c r="C8" s="290"/>
      <c r="D8" s="290"/>
      <c r="E8" s="290"/>
      <c r="F8" s="290"/>
      <c r="G8" s="290"/>
      <c r="H8" s="6"/>
      <c r="I8" s="6"/>
      <c r="J8" s="6"/>
      <c r="K8" s="7"/>
      <c r="L8" s="7"/>
      <c r="M8" s="7"/>
      <c r="N8" s="7"/>
      <c r="O8" s="7"/>
    </row>
    <row r="9" spans="1:15" ht="18.75" customHeight="1">
      <c r="A9" s="317" t="s">
        <v>155</v>
      </c>
      <c r="B9" s="317"/>
      <c r="C9" s="317"/>
      <c r="D9" s="317"/>
      <c r="E9" s="317"/>
      <c r="F9" s="317"/>
      <c r="G9" s="317"/>
      <c r="H9" s="317"/>
      <c r="I9" s="6"/>
      <c r="J9" s="6"/>
      <c r="K9" s="7"/>
      <c r="L9" s="7"/>
      <c r="M9" s="7"/>
      <c r="N9" s="7"/>
      <c r="O9" s="7"/>
    </row>
    <row r="10" spans="2:15" ht="13.5" customHeight="1">
      <c r="B10" s="57"/>
      <c r="C10" s="57"/>
      <c r="D10" s="57"/>
      <c r="E10" s="57"/>
      <c r="F10" s="57"/>
      <c r="G10" s="57"/>
      <c r="H10" s="6"/>
      <c r="I10" s="6"/>
      <c r="J10" s="6"/>
      <c r="K10" s="7"/>
      <c r="L10" s="7"/>
      <c r="M10" s="7"/>
      <c r="N10" s="7"/>
      <c r="O10" s="7"/>
    </row>
    <row r="11" spans="2:15" ht="18">
      <c r="B11" s="320" t="s">
        <v>156</v>
      </c>
      <c r="C11" s="320"/>
      <c r="D11" s="320"/>
      <c r="E11" s="320"/>
      <c r="F11" s="320"/>
      <c r="G11" s="116"/>
      <c r="H11" s="6"/>
      <c r="I11" s="6"/>
      <c r="J11" s="6"/>
      <c r="K11" s="7"/>
      <c r="L11" s="7"/>
      <c r="M11" s="7"/>
      <c r="N11" s="7"/>
      <c r="O11" s="7"/>
    </row>
    <row r="12" spans="2:15" ht="18">
      <c r="B12" s="6"/>
      <c r="C12" s="6"/>
      <c r="D12" s="6"/>
      <c r="E12" s="6"/>
      <c r="F12" s="6"/>
      <c r="G12" s="6"/>
      <c r="H12" s="6"/>
      <c r="I12" s="6"/>
      <c r="J12" s="6"/>
      <c r="K12" s="7"/>
      <c r="L12" s="7"/>
      <c r="M12" s="7"/>
      <c r="N12" s="7"/>
      <c r="O12" s="7"/>
    </row>
    <row r="13" spans="1:15" ht="75.75">
      <c r="A13" s="20"/>
      <c r="B13" s="333" t="s">
        <v>114</v>
      </c>
      <c r="C13" s="327"/>
      <c r="D13" s="21" t="s">
        <v>115</v>
      </c>
      <c r="E13" s="21" t="s">
        <v>116</v>
      </c>
      <c r="F13" s="21" t="s">
        <v>122</v>
      </c>
      <c r="G13" s="21" t="s">
        <v>48</v>
      </c>
      <c r="H13" s="21" t="s">
        <v>118</v>
      </c>
      <c r="I13" s="6"/>
      <c r="J13" s="6"/>
      <c r="K13" s="7"/>
      <c r="L13" s="7"/>
      <c r="M13" s="7"/>
      <c r="N13" s="7"/>
      <c r="O13" s="7"/>
    </row>
    <row r="14" spans="1:15" ht="18">
      <c r="A14" s="62">
        <v>1</v>
      </c>
      <c r="B14" s="334">
        <v>2</v>
      </c>
      <c r="C14" s="335"/>
      <c r="D14" s="62">
        <v>3</v>
      </c>
      <c r="E14" s="62">
        <v>4</v>
      </c>
      <c r="F14" s="62">
        <v>5</v>
      </c>
      <c r="G14" s="62">
        <v>6</v>
      </c>
      <c r="H14" s="62">
        <v>7</v>
      </c>
      <c r="I14" s="6"/>
      <c r="J14" s="6"/>
      <c r="K14" s="7"/>
      <c r="L14" s="7"/>
      <c r="M14" s="7"/>
      <c r="N14" s="7"/>
      <c r="O14" s="7"/>
    </row>
    <row r="15" spans="1:15" ht="18">
      <c r="A15" s="20"/>
      <c r="B15" s="330"/>
      <c r="C15" s="332"/>
      <c r="D15" s="12">
        <v>0</v>
      </c>
      <c r="E15" s="12"/>
      <c r="F15" s="12"/>
      <c r="G15" s="12"/>
      <c r="H15" s="12"/>
      <c r="I15" s="6"/>
      <c r="J15" s="6"/>
      <c r="K15" s="7"/>
      <c r="L15" s="7"/>
      <c r="M15" s="7"/>
      <c r="N15" s="7"/>
      <c r="O15" s="7"/>
    </row>
    <row r="16" spans="1:15" ht="18">
      <c r="A16" s="20"/>
      <c r="B16" s="330" t="s">
        <v>49</v>
      </c>
      <c r="C16" s="332"/>
      <c r="D16" s="40">
        <v>0</v>
      </c>
      <c r="E16" s="40" t="s">
        <v>111</v>
      </c>
      <c r="F16" s="40" t="s">
        <v>111</v>
      </c>
      <c r="G16" s="40" t="s">
        <v>111</v>
      </c>
      <c r="H16" s="40" t="s">
        <v>111</v>
      </c>
      <c r="I16" s="6"/>
      <c r="J16" s="6"/>
      <c r="K16" s="7"/>
      <c r="L16" s="7"/>
      <c r="M16" s="7"/>
      <c r="N16" s="7"/>
      <c r="O16" s="7"/>
    </row>
    <row r="17" spans="1:15" ht="43.5" customHeight="1">
      <c r="A17" s="16"/>
      <c r="B17" s="321" t="s">
        <v>135</v>
      </c>
      <c r="C17" s="321"/>
      <c r="D17" s="321"/>
      <c r="E17" s="321"/>
      <c r="F17" s="321"/>
      <c r="G17" s="321"/>
      <c r="H17" s="6"/>
      <c r="I17" s="6"/>
      <c r="J17" s="6"/>
      <c r="K17" s="7"/>
      <c r="L17" s="7"/>
      <c r="M17" s="7"/>
      <c r="N17" s="7"/>
      <c r="O17" s="7"/>
    </row>
    <row r="18" spans="1:15" ht="18">
      <c r="A18" s="16"/>
      <c r="B18" s="10"/>
      <c r="C18" s="10"/>
      <c r="D18" s="10"/>
      <c r="E18" s="10"/>
      <c r="F18" s="10"/>
      <c r="G18" s="10"/>
      <c r="H18" s="6"/>
      <c r="I18" s="6"/>
      <c r="J18" s="6"/>
      <c r="K18" s="7"/>
      <c r="L18" s="7"/>
      <c r="M18" s="7"/>
      <c r="N18" s="7"/>
      <c r="O18" s="7"/>
    </row>
    <row r="19" spans="1:15" ht="63" customHeight="1">
      <c r="A19" s="322" t="s">
        <v>123</v>
      </c>
      <c r="B19" s="322"/>
      <c r="C19" s="322"/>
      <c r="D19" s="333" t="s">
        <v>157</v>
      </c>
      <c r="E19" s="327"/>
      <c r="F19" s="326" t="s">
        <v>158</v>
      </c>
      <c r="G19" s="326"/>
      <c r="H19" s="327"/>
      <c r="I19" s="6"/>
      <c r="J19" s="6"/>
      <c r="K19" s="7"/>
      <c r="L19" s="7"/>
      <c r="M19" s="7"/>
      <c r="N19" s="7"/>
      <c r="O19" s="7"/>
    </row>
    <row r="20" spans="1:10" ht="30" customHeight="1">
      <c r="A20" s="323" t="s">
        <v>50</v>
      </c>
      <c r="B20" s="324"/>
      <c r="C20" s="325"/>
      <c r="D20" s="326">
        <v>0</v>
      </c>
      <c r="E20" s="327"/>
      <c r="F20" s="326">
        <v>0</v>
      </c>
      <c r="G20" s="326"/>
      <c r="H20" s="327"/>
      <c r="I20" s="6"/>
      <c r="J20" s="6"/>
    </row>
    <row r="21" spans="1:10" ht="30" customHeight="1">
      <c r="A21" s="333" t="s">
        <v>124</v>
      </c>
      <c r="B21" s="326"/>
      <c r="C21" s="327"/>
      <c r="D21" s="330">
        <v>0</v>
      </c>
      <c r="E21" s="332"/>
      <c r="F21" s="330">
        <v>0</v>
      </c>
      <c r="G21" s="331"/>
      <c r="H21" s="332"/>
      <c r="I21" s="6"/>
      <c r="J21" s="6"/>
    </row>
    <row r="22" spans="1:10" ht="18">
      <c r="A22" s="16"/>
      <c r="B22" s="64"/>
      <c r="C22" s="64"/>
      <c r="D22" s="65"/>
      <c r="E22" s="65"/>
      <c r="F22" s="66"/>
      <c r="G22" s="10"/>
      <c r="H22" s="6"/>
      <c r="I22" s="6"/>
      <c r="J22" s="6"/>
    </row>
    <row r="23" spans="1:7" ht="12.75">
      <c r="A23" s="16"/>
      <c r="B23" s="16"/>
      <c r="C23" s="16"/>
      <c r="D23" s="16"/>
      <c r="E23" s="16"/>
      <c r="F23" s="16"/>
      <c r="G23" s="16"/>
    </row>
    <row r="24" spans="1:7" ht="15" hidden="1">
      <c r="A24" s="16"/>
      <c r="B24" s="10"/>
      <c r="C24" s="10"/>
      <c r="D24" s="10"/>
      <c r="E24" s="10"/>
      <c r="F24" s="16"/>
      <c r="G24" s="16"/>
    </row>
    <row r="25" spans="1:7" ht="12.75" hidden="1">
      <c r="A25" s="16"/>
      <c r="B25" s="16"/>
      <c r="C25" s="16"/>
      <c r="D25" s="16"/>
      <c r="E25" s="16"/>
      <c r="F25" s="16"/>
      <c r="G25" s="16"/>
    </row>
    <row r="26" spans="1:7" ht="15" hidden="1">
      <c r="A26" s="16"/>
      <c r="B26" s="10"/>
      <c r="C26" s="10"/>
      <c r="D26" s="10"/>
      <c r="E26" s="10"/>
      <c r="F26" s="67"/>
      <c r="G26" s="16"/>
    </row>
    <row r="27" spans="1:7" ht="18" hidden="1">
      <c r="A27" s="16"/>
      <c r="B27" s="64"/>
      <c r="C27" s="64"/>
      <c r="D27" s="67"/>
      <c r="E27" s="67"/>
      <c r="F27" s="63"/>
      <c r="G27" s="16"/>
    </row>
    <row r="28" spans="1:7" ht="18" hidden="1">
      <c r="A28" s="16"/>
      <c r="B28" s="64"/>
      <c r="C28" s="64"/>
      <c r="D28" s="10"/>
      <c r="E28" s="10"/>
      <c r="F28" s="63"/>
      <c r="G28" s="16"/>
    </row>
    <row r="29" spans="1:7" ht="18" hidden="1">
      <c r="A29" s="16"/>
      <c r="B29" s="64"/>
      <c r="C29" s="64"/>
      <c r="D29" s="65"/>
      <c r="E29" s="65"/>
      <c r="F29" s="66"/>
      <c r="G29" s="16"/>
    </row>
    <row r="30" spans="1:7" ht="12.75">
      <c r="A30" s="16"/>
      <c r="B30" s="16"/>
      <c r="C30" s="16"/>
      <c r="D30" s="16"/>
      <c r="E30" s="16"/>
      <c r="F30" s="16"/>
      <c r="G30" s="16"/>
    </row>
  </sheetData>
  <sheetProtection/>
  <mergeCells count="22">
    <mergeCell ref="L5:P5"/>
    <mergeCell ref="B8:G8"/>
    <mergeCell ref="J2:O2"/>
    <mergeCell ref="L3:P3"/>
    <mergeCell ref="G4:H4"/>
    <mergeCell ref="K4:O4"/>
    <mergeCell ref="A9:H9"/>
    <mergeCell ref="B17:G17"/>
    <mergeCell ref="A19:C19"/>
    <mergeCell ref="D19:E19"/>
    <mergeCell ref="F19:H19"/>
    <mergeCell ref="B11:F11"/>
    <mergeCell ref="F21:H21"/>
    <mergeCell ref="B13:C13"/>
    <mergeCell ref="B14:C14"/>
    <mergeCell ref="B15:C15"/>
    <mergeCell ref="B16:C16"/>
    <mergeCell ref="D21:E21"/>
    <mergeCell ref="A21:C21"/>
    <mergeCell ref="A20:C20"/>
    <mergeCell ref="D20:E20"/>
    <mergeCell ref="F20:H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3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19.00390625" style="0" customWidth="1"/>
    <col min="2" max="2" width="92.00390625" style="0" customWidth="1"/>
    <col min="3" max="3" width="13.125" style="597" customWidth="1"/>
    <col min="4" max="5" width="12.25390625" style="597" customWidth="1"/>
    <col min="6" max="6" width="8.75390625" style="597" customWidth="1"/>
  </cols>
  <sheetData>
    <row r="1" spans="1:6" ht="14.25" customHeight="1">
      <c r="A1" s="3"/>
      <c r="C1" s="336" t="s">
        <v>852</v>
      </c>
      <c r="D1" s="336"/>
      <c r="E1" s="336"/>
      <c r="F1" s="337"/>
    </row>
    <row r="2" spans="1:6" ht="11.25" customHeight="1">
      <c r="A2" s="3"/>
      <c r="B2" s="338"/>
      <c r="C2" s="339" t="s">
        <v>853</v>
      </c>
      <c r="D2" s="339"/>
      <c r="E2" s="339"/>
      <c r="F2" s="337"/>
    </row>
    <row r="3" spans="1:6" ht="12.75" customHeight="1">
      <c r="A3" s="3"/>
      <c r="B3" s="338" t="s">
        <v>854</v>
      </c>
      <c r="C3" s="339" t="s">
        <v>855</v>
      </c>
      <c r="D3" s="339"/>
      <c r="E3" s="339"/>
      <c r="F3" s="337"/>
    </row>
    <row r="4" spans="1:6" ht="12.75">
      <c r="A4" s="3"/>
      <c r="B4" s="338"/>
      <c r="C4" s="339" t="s">
        <v>856</v>
      </c>
      <c r="D4" s="339"/>
      <c r="E4" s="339"/>
      <c r="F4" s="337"/>
    </row>
    <row r="5" spans="1:6" ht="27.75" customHeight="1">
      <c r="A5" s="3"/>
      <c r="B5" s="340" t="s">
        <v>85</v>
      </c>
      <c r="C5" s="341" t="s">
        <v>857</v>
      </c>
      <c r="D5" s="341"/>
      <c r="E5" s="341"/>
      <c r="F5" s="342"/>
    </row>
    <row r="6" spans="1:6" ht="13.5" customHeight="1">
      <c r="A6" s="3"/>
      <c r="B6" s="338"/>
      <c r="C6" s="339" t="s">
        <v>858</v>
      </c>
      <c r="D6" s="339"/>
      <c r="E6" s="339"/>
      <c r="F6" s="337"/>
    </row>
    <row r="7" spans="1:6" ht="12.75" hidden="1">
      <c r="A7" s="3"/>
      <c r="B7" s="339" t="s">
        <v>859</v>
      </c>
      <c r="C7" s="339"/>
      <c r="D7" s="339"/>
      <c r="E7" s="339"/>
      <c r="F7" s="337"/>
    </row>
    <row r="8" spans="1:6" ht="12.75" hidden="1">
      <c r="A8" s="3"/>
      <c r="B8" s="339" t="s">
        <v>860</v>
      </c>
      <c r="C8" s="339"/>
      <c r="D8" s="339"/>
      <c r="E8" s="339"/>
      <c r="F8" s="337"/>
    </row>
    <row r="9" spans="1:6" ht="15" customHeight="1" hidden="1">
      <c r="A9" s="3"/>
      <c r="B9" s="339" t="s">
        <v>861</v>
      </c>
      <c r="C9" s="339"/>
      <c r="D9" s="339"/>
      <c r="E9" s="339"/>
      <c r="F9" s="337"/>
    </row>
    <row r="10" spans="1:6" ht="12" customHeight="1">
      <c r="A10" s="343"/>
      <c r="B10" s="343"/>
      <c r="C10" s="343"/>
      <c r="D10" s="344"/>
      <c r="E10" s="344"/>
      <c r="F10" s="344"/>
    </row>
    <row r="11" spans="2:6" ht="12.75" hidden="1">
      <c r="B11" s="117"/>
      <c r="C11" s="117"/>
      <c r="D11" s="117"/>
      <c r="E11" s="117"/>
      <c r="F11" s="117"/>
    </row>
    <row r="12" spans="1:6" ht="15" customHeight="1">
      <c r="A12" s="345" t="s">
        <v>862</v>
      </c>
      <c r="B12" s="345"/>
      <c r="C12" s="345"/>
      <c r="D12" s="345"/>
      <c r="E12" s="345"/>
      <c r="F12" s="346"/>
    </row>
    <row r="13" spans="1:6" ht="14.25" customHeight="1">
      <c r="A13" s="345" t="s">
        <v>863</v>
      </c>
      <c r="B13" s="345"/>
      <c r="C13" s="345"/>
      <c r="D13" s="345"/>
      <c r="E13" s="345"/>
      <c r="F13" s="346"/>
    </row>
    <row r="14" spans="1:6" ht="15" customHeight="1">
      <c r="A14" s="303"/>
      <c r="B14" s="303"/>
      <c r="C14" s="303"/>
      <c r="D14" s="284"/>
      <c r="E14" s="284"/>
      <c r="F14" s="284"/>
    </row>
    <row r="15" spans="1:6" ht="12.75" hidden="1">
      <c r="A15" s="347"/>
      <c r="B15" s="348"/>
      <c r="C15" s="349"/>
      <c r="D15" s="349"/>
      <c r="E15" s="349"/>
      <c r="F15" s="349"/>
    </row>
    <row r="16" spans="1:6" ht="13.5" customHeight="1">
      <c r="A16" s="347"/>
      <c r="B16" s="348"/>
      <c r="C16" s="350" t="s">
        <v>864</v>
      </c>
      <c r="D16" s="350"/>
      <c r="E16" s="350"/>
      <c r="F16" s="351"/>
    </row>
    <row r="17" spans="1:6" ht="38.25" customHeight="1">
      <c r="A17" s="352" t="s">
        <v>81</v>
      </c>
      <c r="B17" s="353" t="s">
        <v>865</v>
      </c>
      <c r="C17" s="354" t="s">
        <v>866</v>
      </c>
      <c r="D17" s="354" t="s">
        <v>867</v>
      </c>
      <c r="E17" s="354" t="s">
        <v>868</v>
      </c>
      <c r="F17" s="355"/>
    </row>
    <row r="18" spans="1:6" ht="12" customHeight="1">
      <c r="A18" s="356">
        <v>1</v>
      </c>
      <c r="B18" s="356">
        <v>2</v>
      </c>
      <c r="C18" s="357">
        <v>3</v>
      </c>
      <c r="D18" s="357" t="s">
        <v>180</v>
      </c>
      <c r="E18" s="357" t="s">
        <v>181</v>
      </c>
      <c r="F18" s="358"/>
    </row>
    <row r="19" spans="1:6" ht="14.25" customHeight="1">
      <c r="A19" s="359" t="s">
        <v>869</v>
      </c>
      <c r="B19" s="359"/>
      <c r="C19" s="360">
        <f>C20+C155</f>
        <v>769778849</v>
      </c>
      <c r="D19" s="360">
        <f>D20+D155</f>
        <v>817815799</v>
      </c>
      <c r="E19" s="360">
        <f>E20+E155</f>
        <v>850392330</v>
      </c>
      <c r="F19" s="361"/>
    </row>
    <row r="20" spans="1:6" ht="17.25" customHeight="1">
      <c r="A20" s="362" t="s">
        <v>870</v>
      </c>
      <c r="B20" s="363" t="s">
        <v>871</v>
      </c>
      <c r="C20" s="364">
        <f>C21+C40+C55+C63+C85+C93+C100+C112+C115+C150+C61+C30</f>
        <v>213823370</v>
      </c>
      <c r="D20" s="365">
        <f>D21+D40+D55+D63+D85+D93+D100+D112+D115+D150+D61+D30</f>
        <v>200615854</v>
      </c>
      <c r="E20" s="365">
        <f>E21+E40+E55+E63+E85+E93+E100+E112+E115+E150+E61+E30</f>
        <v>211879904</v>
      </c>
      <c r="F20" s="366"/>
    </row>
    <row r="21" spans="1:6" ht="16.5" customHeight="1">
      <c r="A21" s="362" t="s">
        <v>872</v>
      </c>
      <c r="B21" s="363" t="s">
        <v>873</v>
      </c>
      <c r="C21" s="365">
        <f>C22</f>
        <v>183520022</v>
      </c>
      <c r="D21" s="365">
        <f>D22</f>
        <v>170030868</v>
      </c>
      <c r="E21" s="365">
        <f>E22</f>
        <v>181100529</v>
      </c>
      <c r="F21" s="366"/>
    </row>
    <row r="22" spans="1:6" ht="16.5" customHeight="1">
      <c r="A22" s="362" t="s">
        <v>874</v>
      </c>
      <c r="B22" s="367" t="s">
        <v>875</v>
      </c>
      <c r="C22" s="365">
        <f>C23+C24+C25+C26+C27+C28+C29</f>
        <v>183520022</v>
      </c>
      <c r="D22" s="365">
        <f>D23+D24+D25+D26+D27+D28+D29</f>
        <v>170030868</v>
      </c>
      <c r="E22" s="365">
        <f>E23+E24+E25+E26+E27+E28+E29</f>
        <v>181100529</v>
      </c>
      <c r="F22" s="366"/>
    </row>
    <row r="23" spans="1:6" ht="52.5" customHeight="1">
      <c r="A23" s="368" t="s">
        <v>876</v>
      </c>
      <c r="B23" s="369" t="s">
        <v>877</v>
      </c>
      <c r="C23" s="370">
        <v>176470706</v>
      </c>
      <c r="D23" s="370">
        <v>163567087</v>
      </c>
      <c r="E23" s="370">
        <v>174258025</v>
      </c>
      <c r="F23" s="371"/>
    </row>
    <row r="24" spans="1:6" ht="51" customHeight="1">
      <c r="A24" s="368" t="s">
        <v>878</v>
      </c>
      <c r="B24" s="372" t="s">
        <v>879</v>
      </c>
      <c r="C24" s="373">
        <v>1050208</v>
      </c>
      <c r="D24" s="370">
        <v>982372</v>
      </c>
      <c r="E24" s="370">
        <v>1064042</v>
      </c>
      <c r="F24" s="374"/>
    </row>
    <row r="25" spans="1:6" ht="39" customHeight="1">
      <c r="A25" s="169" t="s">
        <v>880</v>
      </c>
      <c r="B25" s="369" t="s">
        <v>881</v>
      </c>
      <c r="C25" s="375">
        <v>1417829</v>
      </c>
      <c r="D25" s="375">
        <v>1235782</v>
      </c>
      <c r="E25" s="375">
        <v>1228859</v>
      </c>
      <c r="F25" s="376"/>
    </row>
    <row r="26" spans="1:6" ht="41.25" customHeight="1">
      <c r="A26" s="368" t="s">
        <v>882</v>
      </c>
      <c r="B26" s="372" t="s">
        <v>883</v>
      </c>
      <c r="C26" s="370"/>
      <c r="D26" s="370"/>
      <c r="E26" s="370"/>
      <c r="F26" s="371"/>
    </row>
    <row r="27" spans="1:6" ht="65.25" customHeight="1">
      <c r="A27" s="353" t="s">
        <v>884</v>
      </c>
      <c r="B27" s="377" t="s">
        <v>885</v>
      </c>
      <c r="C27" s="370">
        <v>2988208</v>
      </c>
      <c r="D27" s="370">
        <v>2793022</v>
      </c>
      <c r="E27" s="370">
        <v>3028416</v>
      </c>
      <c r="F27" s="371"/>
    </row>
    <row r="28" spans="1:6" ht="39" customHeight="1">
      <c r="A28" s="169" t="s">
        <v>886</v>
      </c>
      <c r="B28" s="377" t="s">
        <v>887</v>
      </c>
      <c r="C28" s="370">
        <v>1593071</v>
      </c>
      <c r="D28" s="370">
        <v>1452605</v>
      </c>
      <c r="E28" s="370">
        <v>1521187</v>
      </c>
      <c r="F28" s="371"/>
    </row>
    <row r="29" spans="1:6" ht="12.75" hidden="1">
      <c r="A29" s="368"/>
      <c r="B29" s="378"/>
      <c r="C29" s="370"/>
      <c r="D29" s="370"/>
      <c r="E29" s="370"/>
      <c r="F29" s="371"/>
    </row>
    <row r="30" spans="1:6" s="383" customFormat="1" ht="20.25" customHeight="1">
      <c r="A30" s="379" t="s">
        <v>888</v>
      </c>
      <c r="B30" s="380" t="s">
        <v>889</v>
      </c>
      <c r="C30" s="381">
        <f>C31</f>
        <v>6982615</v>
      </c>
      <c r="D30" s="381">
        <f>D31</f>
        <v>7207357</v>
      </c>
      <c r="E30" s="381">
        <f>E31</f>
        <v>7258768</v>
      </c>
      <c r="F30" s="382"/>
    </row>
    <row r="31" spans="1:6" s="383" customFormat="1" ht="18" customHeight="1">
      <c r="A31" s="384" t="s">
        <v>890</v>
      </c>
      <c r="B31" s="385" t="s">
        <v>891</v>
      </c>
      <c r="C31" s="365">
        <f>C32+C34+C36+C38</f>
        <v>6982615</v>
      </c>
      <c r="D31" s="365">
        <f>D32+D34+D36+D38</f>
        <v>7207357</v>
      </c>
      <c r="E31" s="365">
        <f>E32+E34+E36+E38</f>
        <v>7258768</v>
      </c>
      <c r="F31" s="382"/>
    </row>
    <row r="32" spans="1:6" ht="34.5" customHeight="1">
      <c r="A32" s="384" t="s">
        <v>892</v>
      </c>
      <c r="B32" s="386" t="s">
        <v>893</v>
      </c>
      <c r="C32" s="365">
        <f>C33</f>
        <v>3641724</v>
      </c>
      <c r="D32" s="365">
        <f>D33</f>
        <v>3749681</v>
      </c>
      <c r="E32" s="365">
        <f>E33</f>
        <v>3781078</v>
      </c>
      <c r="F32" s="366"/>
    </row>
    <row r="33" spans="1:6" ht="48" customHeight="1">
      <c r="A33" s="387" t="s">
        <v>894</v>
      </c>
      <c r="B33" s="388" t="s">
        <v>895</v>
      </c>
      <c r="C33" s="370">
        <v>3641724</v>
      </c>
      <c r="D33" s="370">
        <v>3749681</v>
      </c>
      <c r="E33" s="370">
        <v>3781078</v>
      </c>
      <c r="F33" s="371"/>
    </row>
    <row r="34" spans="1:6" ht="35.25" customHeight="1">
      <c r="A34" s="384" t="s">
        <v>896</v>
      </c>
      <c r="B34" s="389" t="s">
        <v>897</v>
      </c>
      <c r="C34" s="365">
        <f>C35</f>
        <v>17352</v>
      </c>
      <c r="D34" s="365">
        <f>D35</f>
        <v>19701</v>
      </c>
      <c r="E34" s="365">
        <f>E35</f>
        <v>20084</v>
      </c>
      <c r="F34" s="366"/>
    </row>
    <row r="35" spans="1:6" ht="48.75" customHeight="1">
      <c r="A35" s="387" t="s">
        <v>898</v>
      </c>
      <c r="B35" s="390" t="s">
        <v>899</v>
      </c>
      <c r="C35" s="391">
        <v>17352</v>
      </c>
      <c r="D35" s="391">
        <v>19701</v>
      </c>
      <c r="E35" s="391">
        <v>20084</v>
      </c>
      <c r="F35" s="392"/>
    </row>
    <row r="36" spans="1:6" ht="35.25" customHeight="1">
      <c r="A36" s="384" t="s">
        <v>900</v>
      </c>
      <c r="B36" s="389" t="s">
        <v>901</v>
      </c>
      <c r="C36" s="365">
        <f>C37</f>
        <v>3776058</v>
      </c>
      <c r="D36" s="365">
        <f>D37</f>
        <v>3904087</v>
      </c>
      <c r="E36" s="365">
        <f>E37</f>
        <v>3938004</v>
      </c>
      <c r="F36" s="366"/>
    </row>
    <row r="37" spans="1:6" ht="47.25" customHeight="1">
      <c r="A37" s="387" t="s">
        <v>902</v>
      </c>
      <c r="B37" s="390" t="s">
        <v>903</v>
      </c>
      <c r="C37" s="370">
        <v>3776058</v>
      </c>
      <c r="D37" s="370">
        <v>3904087</v>
      </c>
      <c r="E37" s="370">
        <v>3938004</v>
      </c>
      <c r="F37" s="371"/>
    </row>
    <row r="38" spans="1:6" ht="34.5" customHeight="1">
      <c r="A38" s="384" t="s">
        <v>904</v>
      </c>
      <c r="B38" s="389" t="s">
        <v>905</v>
      </c>
      <c r="C38" s="365">
        <f>C39</f>
        <v>-452519</v>
      </c>
      <c r="D38" s="365">
        <f>D39</f>
        <v>-466112</v>
      </c>
      <c r="E38" s="365">
        <f>E39</f>
        <v>-480398</v>
      </c>
      <c r="F38" s="366"/>
    </row>
    <row r="39" spans="1:6" ht="47.25" customHeight="1">
      <c r="A39" s="387" t="s">
        <v>906</v>
      </c>
      <c r="B39" s="393" t="s">
        <v>907</v>
      </c>
      <c r="C39" s="370">
        <v>-452519</v>
      </c>
      <c r="D39" s="370">
        <v>-466112</v>
      </c>
      <c r="E39" s="370">
        <v>-480398</v>
      </c>
      <c r="F39" s="371"/>
    </row>
    <row r="40" spans="1:6" ht="18" customHeight="1">
      <c r="A40" s="394" t="s">
        <v>908</v>
      </c>
      <c r="B40" s="395" t="s">
        <v>909</v>
      </c>
      <c r="C40" s="365">
        <f>C47+C50+C53+C41</f>
        <v>6113287</v>
      </c>
      <c r="D40" s="365">
        <f>D47+D50+D53+D41</f>
        <v>6250183</v>
      </c>
      <c r="E40" s="365">
        <f>E47+E50+E53+E41</f>
        <v>6393161</v>
      </c>
      <c r="F40" s="366"/>
    </row>
    <row r="41" spans="1:6" ht="18" customHeight="1">
      <c r="A41" s="396" t="s">
        <v>910</v>
      </c>
      <c r="B41" s="397" t="s">
        <v>911</v>
      </c>
      <c r="C41" s="364">
        <f>C42+C44+C46</f>
        <v>2030308</v>
      </c>
      <c r="D41" s="364">
        <f>D42+D44+D46</f>
        <v>2165595</v>
      </c>
      <c r="E41" s="364">
        <f>E42+E44+E46</f>
        <v>2306935</v>
      </c>
      <c r="F41" s="398"/>
    </row>
    <row r="42" spans="1:6" ht="18" customHeight="1">
      <c r="A42" s="396" t="s">
        <v>912</v>
      </c>
      <c r="B42" s="397" t="s">
        <v>913</v>
      </c>
      <c r="C42" s="364">
        <f>C43</f>
        <v>1137180</v>
      </c>
      <c r="D42" s="364">
        <f>D43</f>
        <v>1230160</v>
      </c>
      <c r="E42" s="364">
        <f>E43</f>
        <v>1328770</v>
      </c>
      <c r="F42" s="398"/>
    </row>
    <row r="43" spans="1:6" ht="17.25" customHeight="1">
      <c r="A43" s="396" t="s">
        <v>914</v>
      </c>
      <c r="B43" s="397" t="s">
        <v>913</v>
      </c>
      <c r="C43" s="375">
        <v>1137180</v>
      </c>
      <c r="D43" s="375">
        <v>1230160</v>
      </c>
      <c r="E43" s="375">
        <v>1328770</v>
      </c>
      <c r="F43" s="376"/>
    </row>
    <row r="44" spans="1:6" ht="27" customHeight="1">
      <c r="A44" s="396" t="s">
        <v>915</v>
      </c>
      <c r="B44" s="399" t="s">
        <v>916</v>
      </c>
      <c r="C44" s="400">
        <f>C45</f>
        <v>893128</v>
      </c>
      <c r="D44" s="400">
        <f>D45</f>
        <v>935435</v>
      </c>
      <c r="E44" s="400">
        <f>E45</f>
        <v>978165</v>
      </c>
      <c r="F44" s="401"/>
    </row>
    <row r="45" spans="1:6" ht="24" customHeight="1">
      <c r="A45" s="396" t="s">
        <v>917</v>
      </c>
      <c r="B45" s="402" t="s">
        <v>918</v>
      </c>
      <c r="C45" s="370">
        <v>893128</v>
      </c>
      <c r="D45" s="370">
        <v>935435</v>
      </c>
      <c r="E45" s="370">
        <v>978165</v>
      </c>
      <c r="F45" s="371"/>
    </row>
    <row r="46" spans="1:6" ht="22.5" hidden="1">
      <c r="A46" s="403" t="s">
        <v>919</v>
      </c>
      <c r="B46" s="404" t="s">
        <v>920</v>
      </c>
      <c r="C46" s="370"/>
      <c r="D46" s="370"/>
      <c r="E46" s="370"/>
      <c r="F46" s="371"/>
    </row>
    <row r="47" spans="1:6" s="23" customFormat="1" ht="16.5" customHeight="1" hidden="1">
      <c r="A47" s="394" t="s">
        <v>921</v>
      </c>
      <c r="B47" s="395" t="s">
        <v>922</v>
      </c>
      <c r="C47" s="405">
        <f>C48+C49</f>
        <v>0</v>
      </c>
      <c r="D47" s="405"/>
      <c r="E47" s="405"/>
      <c r="F47" s="382"/>
    </row>
    <row r="48" spans="1:6" ht="15.75" customHeight="1" hidden="1">
      <c r="A48" s="368" t="s">
        <v>923</v>
      </c>
      <c r="B48" s="385" t="s">
        <v>922</v>
      </c>
      <c r="C48" s="375"/>
      <c r="D48" s="375"/>
      <c r="E48" s="375"/>
      <c r="F48" s="376"/>
    </row>
    <row r="49" spans="1:6" ht="25.5" hidden="1">
      <c r="A49" s="368" t="s">
        <v>924</v>
      </c>
      <c r="B49" s="372" t="s">
        <v>925</v>
      </c>
      <c r="C49" s="375"/>
      <c r="D49" s="375"/>
      <c r="E49" s="375"/>
      <c r="F49" s="376"/>
    </row>
    <row r="50" spans="1:6" s="23" customFormat="1" ht="15.75" customHeight="1">
      <c r="A50" s="394" t="s">
        <v>926</v>
      </c>
      <c r="B50" s="363" t="s">
        <v>927</v>
      </c>
      <c r="C50" s="405">
        <f>C51+C52</f>
        <v>38329</v>
      </c>
      <c r="D50" s="405">
        <f>D51+D52</f>
        <v>39938</v>
      </c>
      <c r="E50" s="405">
        <f>E51+E52</f>
        <v>41576</v>
      </c>
      <c r="F50" s="382"/>
    </row>
    <row r="51" spans="1:6" ht="16.5" customHeight="1">
      <c r="A51" s="368" t="s">
        <v>928</v>
      </c>
      <c r="B51" s="406" t="s">
        <v>927</v>
      </c>
      <c r="C51" s="370">
        <v>38329</v>
      </c>
      <c r="D51" s="407">
        <v>39938</v>
      </c>
      <c r="E51" s="408">
        <v>41576</v>
      </c>
      <c r="F51" s="371"/>
    </row>
    <row r="52" spans="1:6" ht="12.75" hidden="1">
      <c r="A52" s="368" t="s">
        <v>929</v>
      </c>
      <c r="B52" s="372" t="s">
        <v>930</v>
      </c>
      <c r="C52" s="370"/>
      <c r="D52" s="370"/>
      <c r="E52" s="370"/>
      <c r="F52" s="371"/>
    </row>
    <row r="53" spans="1:6" s="23" customFormat="1" ht="17.25" customHeight="1">
      <c r="A53" s="394" t="s">
        <v>931</v>
      </c>
      <c r="B53" s="397" t="s">
        <v>932</v>
      </c>
      <c r="C53" s="365">
        <f>C54</f>
        <v>4044650</v>
      </c>
      <c r="D53" s="365">
        <f>D54</f>
        <v>4044650</v>
      </c>
      <c r="E53" s="365">
        <f>E54</f>
        <v>4044650</v>
      </c>
      <c r="F53" s="382"/>
    </row>
    <row r="54" spans="1:6" ht="25.5">
      <c r="A54" s="368" t="s">
        <v>933</v>
      </c>
      <c r="B54" s="409" t="s">
        <v>934</v>
      </c>
      <c r="C54" s="375">
        <v>4044650</v>
      </c>
      <c r="D54" s="375">
        <v>4044650</v>
      </c>
      <c r="E54" s="375">
        <v>4044650</v>
      </c>
      <c r="F54" s="371"/>
    </row>
    <row r="55" spans="1:6" ht="15.75" customHeight="1">
      <c r="A55" s="394" t="s">
        <v>935</v>
      </c>
      <c r="B55" s="395" t="s">
        <v>936</v>
      </c>
      <c r="C55" s="364">
        <f>C56+C58</f>
        <v>1585267</v>
      </c>
      <c r="D55" s="364">
        <f>D56+D58</f>
        <v>1585267</v>
      </c>
      <c r="E55" s="364">
        <f>E56+E58</f>
        <v>1585267</v>
      </c>
      <c r="F55" s="382"/>
    </row>
    <row r="56" spans="1:6" ht="15.75" customHeight="1">
      <c r="A56" s="394" t="s">
        <v>937</v>
      </c>
      <c r="B56" s="410" t="s">
        <v>938</v>
      </c>
      <c r="C56" s="364">
        <f>C57</f>
        <v>1585267</v>
      </c>
      <c r="D56" s="364">
        <f>D57</f>
        <v>1585267</v>
      </c>
      <c r="E56" s="364">
        <f>E57</f>
        <v>1585267</v>
      </c>
      <c r="F56" s="382"/>
    </row>
    <row r="57" spans="1:6" ht="26.25" customHeight="1">
      <c r="A57" s="368" t="s">
        <v>939</v>
      </c>
      <c r="B57" s="372" t="s">
        <v>940</v>
      </c>
      <c r="C57" s="375">
        <v>1585267</v>
      </c>
      <c r="D57" s="375">
        <v>1585267</v>
      </c>
      <c r="E57" s="375">
        <v>1585267</v>
      </c>
      <c r="F57" s="371"/>
    </row>
    <row r="58" spans="1:6" s="28" customFormat="1" ht="24.75" customHeight="1" hidden="1">
      <c r="A58" s="411" t="s">
        <v>941</v>
      </c>
      <c r="B58" s="412" t="s">
        <v>942</v>
      </c>
      <c r="C58" s="400">
        <f>C59+C60</f>
        <v>0</v>
      </c>
      <c r="D58" s="400"/>
      <c r="E58" s="400"/>
      <c r="F58" s="401"/>
    </row>
    <row r="59" spans="1:6" ht="38.25" hidden="1">
      <c r="A59" s="368" t="s">
        <v>943</v>
      </c>
      <c r="B59" s="372" t="s">
        <v>944</v>
      </c>
      <c r="C59" s="375"/>
      <c r="D59" s="375"/>
      <c r="E59" s="375"/>
      <c r="F59" s="376"/>
    </row>
    <row r="60" spans="1:6" ht="24.75" customHeight="1" hidden="1">
      <c r="A60" s="368" t="s">
        <v>945</v>
      </c>
      <c r="B60" s="372" t="s">
        <v>946</v>
      </c>
      <c r="C60" s="375"/>
      <c r="D60" s="375"/>
      <c r="E60" s="375"/>
      <c r="F60" s="371"/>
    </row>
    <row r="61" spans="1:6" ht="25.5" hidden="1">
      <c r="A61" s="413" t="s">
        <v>947</v>
      </c>
      <c r="B61" s="414" t="s">
        <v>948</v>
      </c>
      <c r="C61" s="400">
        <f>C62</f>
        <v>0</v>
      </c>
      <c r="D61" s="400"/>
      <c r="E61" s="400"/>
      <c r="F61" s="382"/>
    </row>
    <row r="62" spans="1:6" s="348" customFormat="1" ht="38.25" hidden="1">
      <c r="A62" s="415" t="s">
        <v>949</v>
      </c>
      <c r="B62" s="416" t="s">
        <v>950</v>
      </c>
      <c r="C62" s="375"/>
      <c r="D62" s="375"/>
      <c r="E62" s="375"/>
      <c r="F62" s="371"/>
    </row>
    <row r="63" spans="1:6" ht="24.75" customHeight="1">
      <c r="A63" s="394" t="s">
        <v>951</v>
      </c>
      <c r="B63" s="410" t="s">
        <v>952</v>
      </c>
      <c r="C63" s="364">
        <f>C64+C66+C68+C70+C78+C80+C82</f>
        <v>9838151</v>
      </c>
      <c r="D63" s="364">
        <f>D64+D66+D68+D70+D78+D80+D82</f>
        <v>9838151</v>
      </c>
      <c r="E63" s="364">
        <f>E64+E66+E68+E70+E78+E80+E82</f>
        <v>9838151</v>
      </c>
      <c r="F63" s="382"/>
    </row>
    <row r="64" spans="1:6" ht="38.25" hidden="1">
      <c r="A64" s="417" t="s">
        <v>953</v>
      </c>
      <c r="B64" s="367" t="s">
        <v>954</v>
      </c>
      <c r="C64" s="364">
        <f>C65</f>
        <v>0</v>
      </c>
      <c r="D64" s="364"/>
      <c r="E64" s="364"/>
      <c r="F64" s="382"/>
    </row>
    <row r="65" spans="1:6" ht="25.5" hidden="1">
      <c r="A65" s="418" t="s">
        <v>955</v>
      </c>
      <c r="B65" s="419" t="s">
        <v>956</v>
      </c>
      <c r="C65" s="420"/>
      <c r="D65" s="420"/>
      <c r="E65" s="420"/>
      <c r="F65" s="371"/>
    </row>
    <row r="66" spans="1:6" ht="12.75" hidden="1">
      <c r="A66" s="417" t="s">
        <v>957</v>
      </c>
      <c r="B66" s="367" t="s">
        <v>958</v>
      </c>
      <c r="C66" s="364">
        <f>C67</f>
        <v>0</v>
      </c>
      <c r="D66" s="364"/>
      <c r="E66" s="364"/>
      <c r="F66" s="382"/>
    </row>
    <row r="67" spans="1:6" ht="0.75" customHeight="1" hidden="1">
      <c r="A67" s="418" t="s">
        <v>959</v>
      </c>
      <c r="B67" s="372" t="s">
        <v>960</v>
      </c>
      <c r="C67" s="420"/>
      <c r="D67" s="420"/>
      <c r="E67" s="420"/>
      <c r="F67" s="371"/>
    </row>
    <row r="68" spans="1:6" ht="3" customHeight="1" hidden="1">
      <c r="A68" s="394" t="s">
        <v>961</v>
      </c>
      <c r="B68" s="367" t="s">
        <v>962</v>
      </c>
      <c r="C68" s="364">
        <f>C69</f>
        <v>0</v>
      </c>
      <c r="D68" s="364"/>
      <c r="E68" s="364"/>
      <c r="F68" s="382"/>
    </row>
    <row r="69" spans="1:6" ht="25.5" hidden="1">
      <c r="A69" s="368" t="s">
        <v>963</v>
      </c>
      <c r="B69" s="372" t="s">
        <v>964</v>
      </c>
      <c r="C69" s="420"/>
      <c r="D69" s="420"/>
      <c r="E69" s="420"/>
      <c r="F69" s="376"/>
    </row>
    <row r="70" spans="1:6" ht="36" customHeight="1">
      <c r="A70" s="394" t="s">
        <v>965</v>
      </c>
      <c r="B70" s="389" t="s">
        <v>966</v>
      </c>
      <c r="C70" s="364">
        <f>C71+C74+C76</f>
        <v>9838151</v>
      </c>
      <c r="D70" s="364">
        <f>D71+D74+D76</f>
        <v>9838151</v>
      </c>
      <c r="E70" s="364">
        <f>E71+E74+E76</f>
        <v>9838151</v>
      </c>
      <c r="F70" s="382"/>
    </row>
    <row r="71" spans="1:6" ht="24" customHeight="1">
      <c r="A71" s="394" t="s">
        <v>967</v>
      </c>
      <c r="B71" s="389" t="s">
        <v>968</v>
      </c>
      <c r="C71" s="364">
        <f>C72+C73</f>
        <v>8376282</v>
      </c>
      <c r="D71" s="364">
        <f>D72+D73</f>
        <v>8376282</v>
      </c>
      <c r="E71" s="364">
        <f>E72+E73</f>
        <v>8376282</v>
      </c>
      <c r="F71" s="382"/>
    </row>
    <row r="72" spans="1:6" ht="36.75" customHeight="1">
      <c r="A72" s="368" t="s">
        <v>969</v>
      </c>
      <c r="B72" s="390" t="s">
        <v>970</v>
      </c>
      <c r="C72" s="421">
        <v>7422570</v>
      </c>
      <c r="D72" s="421">
        <v>7621479</v>
      </c>
      <c r="E72" s="421">
        <v>7628793</v>
      </c>
      <c r="F72" s="422"/>
    </row>
    <row r="73" spans="1:6" ht="36" customHeight="1">
      <c r="A73" s="368" t="s">
        <v>971</v>
      </c>
      <c r="B73" s="423" t="s">
        <v>972</v>
      </c>
      <c r="C73" s="421">
        <v>953712</v>
      </c>
      <c r="D73" s="421">
        <v>754803</v>
      </c>
      <c r="E73" s="421">
        <v>747489</v>
      </c>
      <c r="F73" s="424"/>
    </row>
    <row r="74" spans="1:6" ht="15.75" customHeight="1" hidden="1">
      <c r="A74" s="425" t="s">
        <v>973</v>
      </c>
      <c r="B74" s="367" t="s">
        <v>974</v>
      </c>
      <c r="C74" s="370">
        <f>C75</f>
        <v>0</v>
      </c>
      <c r="D74" s="370"/>
      <c r="E74" s="370"/>
      <c r="F74" s="371"/>
    </row>
    <row r="75" spans="1:6" ht="15.75" customHeight="1" hidden="1">
      <c r="A75" s="368" t="s">
        <v>975</v>
      </c>
      <c r="B75" s="372" t="s">
        <v>976</v>
      </c>
      <c r="C75" s="370"/>
      <c r="D75" s="370"/>
      <c r="E75" s="370"/>
      <c r="F75" s="371"/>
    </row>
    <row r="76" spans="1:6" ht="35.25" customHeight="1">
      <c r="A76" s="394" t="s">
        <v>977</v>
      </c>
      <c r="B76" s="426" t="s">
        <v>978</v>
      </c>
      <c r="C76" s="365">
        <f>C77</f>
        <v>1461869</v>
      </c>
      <c r="D76" s="365">
        <f>D77</f>
        <v>1461869</v>
      </c>
      <c r="E76" s="365">
        <f>E77</f>
        <v>1461869</v>
      </c>
      <c r="F76" s="382"/>
    </row>
    <row r="77" spans="1:6" ht="26.25" customHeight="1">
      <c r="A77" s="368" t="s">
        <v>979</v>
      </c>
      <c r="B77" s="423" t="s">
        <v>980</v>
      </c>
      <c r="C77" s="375">
        <v>1461869</v>
      </c>
      <c r="D77" s="375">
        <v>1461869</v>
      </c>
      <c r="E77" s="375">
        <v>1461869</v>
      </c>
      <c r="F77" s="371"/>
    </row>
    <row r="78" spans="1:6" ht="25.5" hidden="1">
      <c r="A78" s="425" t="s">
        <v>981</v>
      </c>
      <c r="B78" s="367" t="s">
        <v>982</v>
      </c>
      <c r="C78" s="400">
        <f>C79</f>
        <v>0</v>
      </c>
      <c r="D78" s="400"/>
      <c r="E78" s="400"/>
      <c r="F78" s="382"/>
    </row>
    <row r="79" spans="1:6" ht="25.5" hidden="1">
      <c r="A79" s="368" t="s">
        <v>983</v>
      </c>
      <c r="B79" s="372" t="s">
        <v>984</v>
      </c>
      <c r="C79" s="375"/>
      <c r="D79" s="375"/>
      <c r="E79" s="375"/>
      <c r="F79" s="371"/>
    </row>
    <row r="80" spans="1:6" ht="38.25" hidden="1">
      <c r="A80" s="425" t="s">
        <v>985</v>
      </c>
      <c r="B80" s="367" t="s">
        <v>986</v>
      </c>
      <c r="C80" s="400">
        <f>C81</f>
        <v>0</v>
      </c>
      <c r="D80" s="400"/>
      <c r="E80" s="400"/>
      <c r="F80" s="382"/>
    </row>
    <row r="81" spans="1:6" ht="38.25" hidden="1">
      <c r="A81" s="368" t="s">
        <v>987</v>
      </c>
      <c r="B81" s="372" t="s">
        <v>988</v>
      </c>
      <c r="C81" s="375"/>
      <c r="D81" s="375"/>
      <c r="E81" s="375"/>
      <c r="F81" s="371"/>
    </row>
    <row r="82" spans="1:6" ht="3.75" customHeight="1" hidden="1">
      <c r="A82" s="425" t="s">
        <v>989</v>
      </c>
      <c r="B82" s="367" t="s">
        <v>990</v>
      </c>
      <c r="C82" s="400">
        <f>C83</f>
        <v>0</v>
      </c>
      <c r="D82" s="400"/>
      <c r="E82" s="400"/>
      <c r="F82" s="382"/>
    </row>
    <row r="83" spans="1:6" ht="38.25" hidden="1">
      <c r="A83" s="368" t="s">
        <v>991</v>
      </c>
      <c r="B83" s="372" t="s">
        <v>992</v>
      </c>
      <c r="C83" s="375">
        <f>C84</f>
        <v>0</v>
      </c>
      <c r="D83" s="375"/>
      <c r="E83" s="375"/>
      <c r="F83" s="371"/>
    </row>
    <row r="84" spans="1:6" ht="38.25" hidden="1">
      <c r="A84" s="368" t="s">
        <v>993</v>
      </c>
      <c r="B84" s="372" t="s">
        <v>994</v>
      </c>
      <c r="C84" s="375"/>
      <c r="D84" s="375"/>
      <c r="E84" s="375"/>
      <c r="F84" s="371"/>
    </row>
    <row r="85" spans="1:6" ht="16.5" customHeight="1">
      <c r="A85" s="394" t="s">
        <v>995</v>
      </c>
      <c r="B85" s="395" t="s">
        <v>996</v>
      </c>
      <c r="C85" s="400">
        <f>C86</f>
        <v>57642</v>
      </c>
      <c r="D85" s="400">
        <f>D86</f>
        <v>57642</v>
      </c>
      <c r="E85" s="400">
        <f>E86</f>
        <v>57642</v>
      </c>
      <c r="F85" s="382"/>
    </row>
    <row r="86" spans="1:6" ht="15.75" customHeight="1">
      <c r="A86" s="368" t="s">
        <v>997</v>
      </c>
      <c r="B86" s="385" t="s">
        <v>998</v>
      </c>
      <c r="C86" s="400">
        <f>SUM(C87:C90)</f>
        <v>57642</v>
      </c>
      <c r="D86" s="400">
        <f>SUM(D87:D90)</f>
        <v>57642</v>
      </c>
      <c r="E86" s="400">
        <f>SUM(E87:E90)</f>
        <v>57642</v>
      </c>
      <c r="F86" s="382"/>
    </row>
    <row r="87" spans="1:6" ht="18.75" customHeight="1">
      <c r="A87" s="368" t="s">
        <v>999</v>
      </c>
      <c r="B87" s="397" t="s">
        <v>1000</v>
      </c>
      <c r="C87" s="375">
        <v>54912</v>
      </c>
      <c r="D87" s="375">
        <v>54912</v>
      </c>
      <c r="E87" s="375">
        <v>54912</v>
      </c>
      <c r="F87" s="376"/>
    </row>
    <row r="88" spans="1:6" ht="12.75" hidden="1">
      <c r="A88" s="368" t="s">
        <v>1001</v>
      </c>
      <c r="B88" s="427" t="s">
        <v>1002</v>
      </c>
      <c r="C88" s="375"/>
      <c r="D88" s="375"/>
      <c r="E88" s="375"/>
      <c r="F88" s="371"/>
    </row>
    <row r="89" spans="1:6" ht="17.25" customHeight="1">
      <c r="A89" s="368" t="s">
        <v>1003</v>
      </c>
      <c r="B89" s="397" t="s">
        <v>1002</v>
      </c>
      <c r="C89" s="375">
        <v>2730</v>
      </c>
      <c r="D89" s="375">
        <v>2730</v>
      </c>
      <c r="E89" s="375">
        <v>2730</v>
      </c>
      <c r="F89" s="371"/>
    </row>
    <row r="90" spans="1:6" s="429" customFormat="1" ht="0.75" customHeight="1" hidden="1">
      <c r="A90" s="394" t="s">
        <v>1004</v>
      </c>
      <c r="B90" s="428" t="s">
        <v>1005</v>
      </c>
      <c r="C90" s="400">
        <f>C91+C92</f>
        <v>0</v>
      </c>
      <c r="D90" s="400"/>
      <c r="E90" s="400"/>
      <c r="F90" s="382"/>
    </row>
    <row r="91" spans="1:6" s="429" customFormat="1" ht="15" hidden="1">
      <c r="A91" s="169" t="s">
        <v>1006</v>
      </c>
      <c r="B91" s="430" t="s">
        <v>1007</v>
      </c>
      <c r="C91" s="375"/>
      <c r="D91" s="375"/>
      <c r="E91" s="375"/>
      <c r="F91" s="371"/>
    </row>
    <row r="92" spans="1:6" s="28" customFormat="1" ht="12.75" hidden="1">
      <c r="A92" s="169" t="s">
        <v>1008</v>
      </c>
      <c r="B92" s="431" t="s">
        <v>1009</v>
      </c>
      <c r="C92" s="375"/>
      <c r="D92" s="375"/>
      <c r="E92" s="375"/>
      <c r="F92" s="376"/>
    </row>
    <row r="93" spans="1:6" ht="19.5" customHeight="1">
      <c r="A93" s="394" t="s">
        <v>1010</v>
      </c>
      <c r="B93" s="432" t="s">
        <v>1011</v>
      </c>
      <c r="C93" s="364">
        <f>C94+C97</f>
        <v>5391000</v>
      </c>
      <c r="D93" s="364">
        <f>D94+D97</f>
        <v>5391000</v>
      </c>
      <c r="E93" s="364">
        <f>E94+E97</f>
        <v>5391000</v>
      </c>
      <c r="F93" s="382"/>
    </row>
    <row r="94" spans="1:6" ht="15.75" customHeight="1">
      <c r="A94" s="394" t="s">
        <v>1012</v>
      </c>
      <c r="B94" s="433" t="s">
        <v>1013</v>
      </c>
      <c r="C94" s="364">
        <f aca="true" t="shared" si="0" ref="C94:E95">C95</f>
        <v>5391000</v>
      </c>
      <c r="D94" s="364">
        <f t="shared" si="0"/>
        <v>5391000</v>
      </c>
      <c r="E94" s="364">
        <f t="shared" si="0"/>
        <v>5391000</v>
      </c>
      <c r="F94" s="382"/>
    </row>
    <row r="95" spans="1:6" ht="15.75" customHeight="1">
      <c r="A95" s="394" t="s">
        <v>1014</v>
      </c>
      <c r="B95" s="433" t="s">
        <v>1015</v>
      </c>
      <c r="C95" s="364">
        <f t="shared" si="0"/>
        <v>5391000</v>
      </c>
      <c r="D95" s="364">
        <f t="shared" si="0"/>
        <v>5391000</v>
      </c>
      <c r="E95" s="364">
        <f t="shared" si="0"/>
        <v>5391000</v>
      </c>
      <c r="F95" s="382"/>
    </row>
    <row r="96" spans="1:6" ht="16.5" customHeight="1">
      <c r="A96" s="368" t="s">
        <v>1016</v>
      </c>
      <c r="B96" s="397" t="s">
        <v>1017</v>
      </c>
      <c r="C96" s="375">
        <v>5391000</v>
      </c>
      <c r="D96" s="375">
        <v>5391000</v>
      </c>
      <c r="E96" s="375">
        <v>5391000</v>
      </c>
      <c r="F96" s="376"/>
    </row>
    <row r="97" spans="1:6" s="435" customFormat="1" ht="16.5" customHeight="1" hidden="1">
      <c r="A97" s="394" t="s">
        <v>1018</v>
      </c>
      <c r="B97" s="434" t="s">
        <v>1019</v>
      </c>
      <c r="C97" s="400">
        <f aca="true" t="shared" si="1" ref="C97:E98">C98</f>
        <v>0</v>
      </c>
      <c r="D97" s="400">
        <f t="shared" si="1"/>
        <v>0</v>
      </c>
      <c r="E97" s="400">
        <f t="shared" si="1"/>
        <v>0</v>
      </c>
      <c r="F97" s="401"/>
    </row>
    <row r="98" spans="1:6" ht="16.5" customHeight="1" hidden="1">
      <c r="A98" s="394" t="s">
        <v>1020</v>
      </c>
      <c r="B98" s="434" t="s">
        <v>1021</v>
      </c>
      <c r="C98" s="400">
        <f t="shared" si="1"/>
        <v>0</v>
      </c>
      <c r="D98" s="400">
        <f t="shared" si="1"/>
        <v>0</v>
      </c>
      <c r="E98" s="400">
        <f t="shared" si="1"/>
        <v>0</v>
      </c>
      <c r="F98" s="376"/>
    </row>
    <row r="99" spans="1:6" ht="16.5" customHeight="1" hidden="1">
      <c r="A99" s="368" t="s">
        <v>1022</v>
      </c>
      <c r="B99" s="397" t="s">
        <v>1023</v>
      </c>
      <c r="C99" s="375"/>
      <c r="D99" s="375"/>
      <c r="E99" s="375"/>
      <c r="F99" s="376"/>
    </row>
    <row r="100" spans="1:6" ht="18" customHeight="1">
      <c r="A100" s="394" t="s">
        <v>1024</v>
      </c>
      <c r="B100" s="436" t="s">
        <v>1025</v>
      </c>
      <c r="C100" s="364">
        <f>C101+C103+C106</f>
        <v>22000</v>
      </c>
      <c r="D100" s="364">
        <f>D101+D103+D106</f>
        <v>22000</v>
      </c>
      <c r="E100" s="364">
        <f>E101+E103+E106</f>
        <v>22000</v>
      </c>
      <c r="F100" s="382"/>
    </row>
    <row r="101" spans="1:6" ht="12.75" hidden="1">
      <c r="A101" s="417" t="s">
        <v>1026</v>
      </c>
      <c r="B101" s="367" t="s">
        <v>1027</v>
      </c>
      <c r="C101" s="364">
        <f>C102</f>
        <v>0</v>
      </c>
      <c r="D101" s="364"/>
      <c r="E101" s="364"/>
      <c r="F101" s="382"/>
    </row>
    <row r="102" spans="1:6" ht="12.75" hidden="1">
      <c r="A102" s="418" t="s">
        <v>1028</v>
      </c>
      <c r="B102" s="372" t="s">
        <v>1029</v>
      </c>
      <c r="C102" s="420"/>
      <c r="D102" s="420"/>
      <c r="E102" s="420"/>
      <c r="F102" s="371"/>
    </row>
    <row r="103" spans="1:6" ht="10.5" customHeight="1" hidden="1">
      <c r="A103" s="417" t="s">
        <v>1030</v>
      </c>
      <c r="B103" s="410" t="s">
        <v>1031</v>
      </c>
      <c r="C103" s="364">
        <f aca="true" t="shared" si="2" ref="C103:E104">C104</f>
        <v>0</v>
      </c>
      <c r="D103" s="364">
        <f t="shared" si="2"/>
        <v>0</v>
      </c>
      <c r="E103" s="364">
        <f t="shared" si="2"/>
        <v>0</v>
      </c>
      <c r="F103" s="382"/>
    </row>
    <row r="104" spans="1:6" ht="48" hidden="1">
      <c r="A104" s="417" t="s">
        <v>1032</v>
      </c>
      <c r="B104" s="410" t="s">
        <v>1033</v>
      </c>
      <c r="C104" s="364">
        <f t="shared" si="2"/>
        <v>0</v>
      </c>
      <c r="D104" s="364">
        <f t="shared" si="2"/>
        <v>0</v>
      </c>
      <c r="E104" s="364">
        <f t="shared" si="2"/>
        <v>0</v>
      </c>
      <c r="F104" s="371"/>
    </row>
    <row r="105" spans="1:6" ht="36.75" customHeight="1" hidden="1">
      <c r="A105" s="437" t="s">
        <v>1034</v>
      </c>
      <c r="B105" s="438" t="s">
        <v>1035</v>
      </c>
      <c r="C105" s="420">
        <v>0</v>
      </c>
      <c r="D105" s="420"/>
      <c r="E105" s="420"/>
      <c r="F105" s="371"/>
    </row>
    <row r="106" spans="1:6" ht="16.5" customHeight="1">
      <c r="A106" s="394" t="s">
        <v>1036</v>
      </c>
      <c r="B106" s="395" t="s">
        <v>1037</v>
      </c>
      <c r="C106" s="364">
        <f>C107+C110</f>
        <v>22000</v>
      </c>
      <c r="D106" s="364">
        <f>D107+D110</f>
        <v>22000</v>
      </c>
      <c r="E106" s="364">
        <f>E107+E110</f>
        <v>22000</v>
      </c>
      <c r="F106" s="382"/>
    </row>
    <row r="107" spans="1:6" ht="18" customHeight="1">
      <c r="A107" s="394" t="s">
        <v>1038</v>
      </c>
      <c r="B107" s="395" t="s">
        <v>1039</v>
      </c>
      <c r="C107" s="364">
        <f>C108+C109</f>
        <v>22000</v>
      </c>
      <c r="D107" s="364">
        <f>D108+D109</f>
        <v>22000</v>
      </c>
      <c r="E107" s="364">
        <f>E108+E109</f>
        <v>22000</v>
      </c>
      <c r="F107" s="382"/>
    </row>
    <row r="108" spans="1:6" ht="24" customHeight="1">
      <c r="A108" s="368" t="s">
        <v>1040</v>
      </c>
      <c r="B108" s="390" t="s">
        <v>1041</v>
      </c>
      <c r="C108" s="375">
        <f>1000</f>
        <v>1000</v>
      </c>
      <c r="D108" s="375">
        <f>1000</f>
        <v>1000</v>
      </c>
      <c r="E108" s="375">
        <f>1000</f>
        <v>1000</v>
      </c>
      <c r="F108" s="371"/>
    </row>
    <row r="109" spans="1:6" ht="24" customHeight="1">
      <c r="A109" s="368" t="s">
        <v>1042</v>
      </c>
      <c r="B109" s="423" t="s">
        <v>1043</v>
      </c>
      <c r="C109" s="375">
        <f>21000</f>
        <v>21000</v>
      </c>
      <c r="D109" s="375">
        <f>21000</f>
        <v>21000</v>
      </c>
      <c r="E109" s="375">
        <v>21000</v>
      </c>
      <c r="F109" s="371"/>
    </row>
    <row r="110" spans="1:6" ht="25.5" hidden="1">
      <c r="A110" s="439" t="s">
        <v>1044</v>
      </c>
      <c r="B110" s="440" t="s">
        <v>1045</v>
      </c>
      <c r="C110" s="370">
        <f>C111</f>
        <v>0</v>
      </c>
      <c r="D110" s="370"/>
      <c r="E110" s="370"/>
      <c r="F110" s="371"/>
    </row>
    <row r="111" spans="1:6" ht="25.5" hidden="1">
      <c r="A111" s="441" t="s">
        <v>1046</v>
      </c>
      <c r="B111" s="419" t="s">
        <v>1047</v>
      </c>
      <c r="C111" s="370"/>
      <c r="D111" s="370"/>
      <c r="E111" s="370"/>
      <c r="F111" s="371"/>
    </row>
    <row r="112" spans="1:6" ht="12.75" hidden="1">
      <c r="A112" s="394" t="s">
        <v>1048</v>
      </c>
      <c r="B112" s="395" t="s">
        <v>1049</v>
      </c>
      <c r="C112" s="405">
        <f>C113</f>
        <v>0</v>
      </c>
      <c r="D112" s="405"/>
      <c r="E112" s="405"/>
      <c r="F112" s="382"/>
    </row>
    <row r="113" spans="1:6" ht="25.5" hidden="1">
      <c r="A113" s="394" t="s">
        <v>1050</v>
      </c>
      <c r="B113" s="367" t="s">
        <v>1051</v>
      </c>
      <c r="C113" s="405">
        <f>C114</f>
        <v>0</v>
      </c>
      <c r="D113" s="405"/>
      <c r="E113" s="405"/>
      <c r="F113" s="382"/>
    </row>
    <row r="114" spans="1:6" ht="12.75" hidden="1">
      <c r="A114" s="368" t="s">
        <v>1052</v>
      </c>
      <c r="B114" s="372" t="s">
        <v>1053</v>
      </c>
      <c r="C114" s="370"/>
      <c r="D114" s="370"/>
      <c r="E114" s="370"/>
      <c r="F114" s="371"/>
    </row>
    <row r="115" spans="1:6" ht="16.5" customHeight="1">
      <c r="A115" s="411" t="s">
        <v>1054</v>
      </c>
      <c r="B115" s="442" t="s">
        <v>1055</v>
      </c>
      <c r="C115" s="364">
        <f>C116+C139+C144+C142</f>
        <v>233386</v>
      </c>
      <c r="D115" s="364">
        <f>D116+D139+D144+D142</f>
        <v>233386</v>
      </c>
      <c r="E115" s="364">
        <f>E116+E139+E144+E142</f>
        <v>233386</v>
      </c>
      <c r="F115" s="401"/>
    </row>
    <row r="116" spans="1:6" ht="24">
      <c r="A116" s="411" t="s">
        <v>1056</v>
      </c>
      <c r="B116" s="443" t="s">
        <v>1057</v>
      </c>
      <c r="C116" s="364">
        <f>C117+C119+C127+C137+C123+C129+C135+C121+C125+C131+C133</f>
        <v>233386</v>
      </c>
      <c r="D116" s="364">
        <f>D117+D119+D127+D137+D123+D129+D135+D121+D125+D131+D133</f>
        <v>233386</v>
      </c>
      <c r="E116" s="364">
        <f>E117+E119+E127+E137+E123+E129+E135+E121+E125+E131+E133</f>
        <v>233386</v>
      </c>
      <c r="F116" s="401"/>
    </row>
    <row r="117" spans="1:6" ht="24.75" customHeight="1">
      <c r="A117" s="411" t="s">
        <v>1058</v>
      </c>
      <c r="B117" s="444" t="s">
        <v>1059</v>
      </c>
      <c r="C117" s="364">
        <f>C118</f>
        <v>4434</v>
      </c>
      <c r="D117" s="364">
        <f>D118</f>
        <v>4434</v>
      </c>
      <c r="E117" s="364">
        <f>E118</f>
        <v>4434</v>
      </c>
      <c r="F117" s="398"/>
    </row>
    <row r="118" spans="1:6" ht="36">
      <c r="A118" s="169" t="s">
        <v>1060</v>
      </c>
      <c r="B118" s="445" t="s">
        <v>1061</v>
      </c>
      <c r="C118" s="375">
        <v>4434</v>
      </c>
      <c r="D118" s="375">
        <v>4434</v>
      </c>
      <c r="E118" s="375">
        <v>4434</v>
      </c>
      <c r="F118" s="376"/>
    </row>
    <row r="119" spans="1:6" ht="37.5" customHeight="1">
      <c r="A119" s="411" t="s">
        <v>1062</v>
      </c>
      <c r="B119" s="446" t="s">
        <v>1063</v>
      </c>
      <c r="C119" s="364">
        <f>C120</f>
        <v>35792</v>
      </c>
      <c r="D119" s="364">
        <f>D120</f>
        <v>35792</v>
      </c>
      <c r="E119" s="364">
        <f>E120</f>
        <v>35792</v>
      </c>
      <c r="F119" s="401"/>
    </row>
    <row r="120" spans="1:6" ht="48.75" customHeight="1">
      <c r="A120" s="169" t="s">
        <v>1064</v>
      </c>
      <c r="B120" s="447" t="s">
        <v>1065</v>
      </c>
      <c r="C120" s="375">
        <v>35792</v>
      </c>
      <c r="D120" s="375">
        <v>35792</v>
      </c>
      <c r="E120" s="375">
        <v>35792</v>
      </c>
      <c r="F120" s="376"/>
    </row>
    <row r="121" spans="1:6" ht="24" customHeight="1">
      <c r="A121" s="448" t="s">
        <v>1066</v>
      </c>
      <c r="B121" s="449" t="s">
        <v>1067</v>
      </c>
      <c r="C121" s="364">
        <f>C122</f>
        <v>10812</v>
      </c>
      <c r="D121" s="364">
        <f>D122</f>
        <v>10812</v>
      </c>
      <c r="E121" s="364">
        <f>E122</f>
        <v>10812</v>
      </c>
      <c r="F121" s="401"/>
    </row>
    <row r="122" spans="1:6" ht="36" customHeight="1">
      <c r="A122" s="450" t="s">
        <v>1068</v>
      </c>
      <c r="B122" s="451" t="s">
        <v>1069</v>
      </c>
      <c r="C122" s="375">
        <v>10812</v>
      </c>
      <c r="D122" s="375">
        <v>10812</v>
      </c>
      <c r="E122" s="375">
        <v>10812</v>
      </c>
      <c r="F122" s="376"/>
    </row>
    <row r="123" spans="1:6" ht="36" customHeight="1">
      <c r="A123" s="452" t="s">
        <v>1070</v>
      </c>
      <c r="B123" s="453" t="s">
        <v>1071</v>
      </c>
      <c r="C123" s="364">
        <f>C124</f>
        <v>38917</v>
      </c>
      <c r="D123" s="364">
        <f>D124</f>
        <v>38917</v>
      </c>
      <c r="E123" s="364">
        <f>E124</f>
        <v>38917</v>
      </c>
      <c r="F123" s="401"/>
    </row>
    <row r="124" spans="1:6" ht="50.25" customHeight="1">
      <c r="A124" s="454" t="s">
        <v>1072</v>
      </c>
      <c r="B124" s="455" t="s">
        <v>1073</v>
      </c>
      <c r="C124" s="375">
        <v>38917</v>
      </c>
      <c r="D124" s="375">
        <v>38917</v>
      </c>
      <c r="E124" s="375">
        <v>38917</v>
      </c>
      <c r="F124" s="376"/>
    </row>
    <row r="125" spans="1:6" ht="24" customHeight="1">
      <c r="A125" s="411" t="s">
        <v>1074</v>
      </c>
      <c r="B125" s="456" t="s">
        <v>1075</v>
      </c>
      <c r="C125" s="364">
        <f>C126</f>
        <v>1833</v>
      </c>
      <c r="D125" s="364">
        <f>D126</f>
        <v>1833</v>
      </c>
      <c r="E125" s="364">
        <f>E126</f>
        <v>1833</v>
      </c>
      <c r="F125" s="401"/>
    </row>
    <row r="126" spans="1:6" ht="36" customHeight="1">
      <c r="A126" s="169" t="s">
        <v>1076</v>
      </c>
      <c r="B126" s="447" t="s">
        <v>1077</v>
      </c>
      <c r="C126" s="375">
        <v>1833</v>
      </c>
      <c r="D126" s="375">
        <v>1833</v>
      </c>
      <c r="E126" s="375">
        <v>1833</v>
      </c>
      <c r="F126" s="376"/>
    </row>
    <row r="127" spans="1:6" ht="34.5" customHeight="1">
      <c r="A127" s="411" t="s">
        <v>1078</v>
      </c>
      <c r="B127" s="444" t="s">
        <v>1079</v>
      </c>
      <c r="C127" s="364">
        <f>C128</f>
        <v>22294</v>
      </c>
      <c r="D127" s="364">
        <f>D128</f>
        <v>22294</v>
      </c>
      <c r="E127" s="364">
        <f>E128</f>
        <v>22294</v>
      </c>
      <c r="F127" s="401"/>
    </row>
    <row r="128" spans="1:6" ht="37.5" customHeight="1">
      <c r="A128" s="169" t="s">
        <v>1080</v>
      </c>
      <c r="B128" s="447" t="s">
        <v>1081</v>
      </c>
      <c r="C128" s="375">
        <v>22294</v>
      </c>
      <c r="D128" s="375">
        <v>22294</v>
      </c>
      <c r="E128" s="375">
        <v>22294</v>
      </c>
      <c r="F128" s="376"/>
    </row>
    <row r="129" spans="1:6" s="457" customFormat="1" ht="34.5" customHeight="1">
      <c r="A129" s="448" t="s">
        <v>1082</v>
      </c>
      <c r="B129" s="444" t="s">
        <v>1083</v>
      </c>
      <c r="C129" s="364">
        <f>C130</f>
        <v>5861</v>
      </c>
      <c r="D129" s="364">
        <f>D130</f>
        <v>5861</v>
      </c>
      <c r="E129" s="364">
        <f>E130</f>
        <v>5861</v>
      </c>
      <c r="F129" s="398"/>
    </row>
    <row r="130" spans="1:6" ht="48">
      <c r="A130" s="458" t="s">
        <v>1084</v>
      </c>
      <c r="B130" s="459" t="s">
        <v>1085</v>
      </c>
      <c r="C130" s="375">
        <v>5861</v>
      </c>
      <c r="D130" s="375">
        <v>5861</v>
      </c>
      <c r="E130" s="375">
        <v>5861</v>
      </c>
      <c r="F130" s="376"/>
    </row>
    <row r="131" spans="1:6" ht="25.5" customHeight="1">
      <c r="A131" s="448" t="s">
        <v>1086</v>
      </c>
      <c r="B131" s="444" t="s">
        <v>1087</v>
      </c>
      <c r="C131" s="364">
        <f>C132</f>
        <v>2486</v>
      </c>
      <c r="D131" s="364">
        <f>D132</f>
        <v>2486</v>
      </c>
      <c r="E131" s="364">
        <f>E132</f>
        <v>2486</v>
      </c>
      <c r="F131" s="401"/>
    </row>
    <row r="132" spans="1:6" ht="34.5" customHeight="1">
      <c r="A132" s="458" t="s">
        <v>1088</v>
      </c>
      <c r="B132" s="447" t="s">
        <v>1089</v>
      </c>
      <c r="C132" s="375">
        <v>2486</v>
      </c>
      <c r="D132" s="375">
        <v>2486</v>
      </c>
      <c r="E132" s="375">
        <v>2486</v>
      </c>
      <c r="F132" s="376"/>
    </row>
    <row r="133" spans="1:6" s="435" customFormat="1" ht="48">
      <c r="A133" s="448" t="s">
        <v>1090</v>
      </c>
      <c r="B133" s="444" t="s">
        <v>1091</v>
      </c>
      <c r="C133" s="364">
        <f>C134</f>
        <v>6333</v>
      </c>
      <c r="D133" s="364">
        <f>D134</f>
        <v>6333</v>
      </c>
      <c r="E133" s="364">
        <f>E134</f>
        <v>6333</v>
      </c>
      <c r="F133" s="401"/>
    </row>
    <row r="134" spans="1:6" ht="48">
      <c r="A134" s="458" t="s">
        <v>1092</v>
      </c>
      <c r="B134" s="447" t="s">
        <v>1093</v>
      </c>
      <c r="C134" s="375">
        <v>6333</v>
      </c>
      <c r="D134" s="375">
        <v>6333</v>
      </c>
      <c r="E134" s="375">
        <v>6333</v>
      </c>
      <c r="F134" s="376"/>
    </row>
    <row r="135" spans="1:6" s="429" customFormat="1" ht="27.75" customHeight="1">
      <c r="A135" s="448" t="s">
        <v>1094</v>
      </c>
      <c r="B135" s="444" t="s">
        <v>1095</v>
      </c>
      <c r="C135" s="364">
        <f>C136</f>
        <v>26608</v>
      </c>
      <c r="D135" s="364">
        <f>D136</f>
        <v>26608</v>
      </c>
      <c r="E135" s="364">
        <f>E136</f>
        <v>26608</v>
      </c>
      <c r="F135" s="401"/>
    </row>
    <row r="136" spans="1:6" ht="35.25" customHeight="1">
      <c r="A136" s="458" t="s">
        <v>1096</v>
      </c>
      <c r="B136" s="447" t="s">
        <v>1097</v>
      </c>
      <c r="C136" s="375">
        <v>26608</v>
      </c>
      <c r="D136" s="375">
        <v>26608</v>
      </c>
      <c r="E136" s="375">
        <v>26608</v>
      </c>
      <c r="F136" s="376"/>
    </row>
    <row r="137" spans="1:6" s="23" customFormat="1" ht="35.25" customHeight="1">
      <c r="A137" s="411" t="s">
        <v>1098</v>
      </c>
      <c r="B137" s="444" t="s">
        <v>1099</v>
      </c>
      <c r="C137" s="364">
        <f>C138</f>
        <v>78016</v>
      </c>
      <c r="D137" s="364">
        <f>D138</f>
        <v>78016</v>
      </c>
      <c r="E137" s="364">
        <f>E138</f>
        <v>78016</v>
      </c>
      <c r="F137" s="401"/>
    </row>
    <row r="138" spans="1:6" ht="36.75" customHeight="1">
      <c r="A138" s="169" t="s">
        <v>1100</v>
      </c>
      <c r="B138" s="447" t="s">
        <v>1101</v>
      </c>
      <c r="C138" s="375">
        <v>78016</v>
      </c>
      <c r="D138" s="375">
        <v>78016</v>
      </c>
      <c r="E138" s="375">
        <v>78016</v>
      </c>
      <c r="F138" s="376"/>
    </row>
    <row r="139" spans="1:6" ht="47.25" customHeight="1" hidden="1">
      <c r="A139" s="411" t="s">
        <v>1102</v>
      </c>
      <c r="B139" s="444" t="s">
        <v>1103</v>
      </c>
      <c r="C139" s="400">
        <f aca="true" t="shared" si="3" ref="C139:E140">C140</f>
        <v>0</v>
      </c>
      <c r="D139" s="400">
        <f t="shared" si="3"/>
        <v>0</v>
      </c>
      <c r="E139" s="400">
        <f t="shared" si="3"/>
        <v>0</v>
      </c>
      <c r="F139" s="401"/>
    </row>
    <row r="140" spans="1:6" ht="23.25" customHeight="1" hidden="1">
      <c r="A140" s="411" t="s">
        <v>1104</v>
      </c>
      <c r="B140" s="444" t="s">
        <v>1105</v>
      </c>
      <c r="C140" s="400">
        <f t="shared" si="3"/>
        <v>0</v>
      </c>
      <c r="D140" s="400">
        <f t="shared" si="3"/>
        <v>0</v>
      </c>
      <c r="E140" s="400">
        <f t="shared" si="3"/>
        <v>0</v>
      </c>
      <c r="F140" s="401"/>
    </row>
    <row r="141" spans="1:6" ht="36" hidden="1">
      <c r="A141" s="460" t="s">
        <v>1106</v>
      </c>
      <c r="B141" s="447" t="s">
        <v>1107</v>
      </c>
      <c r="C141" s="375">
        <v>0</v>
      </c>
      <c r="D141" s="375">
        <v>0</v>
      </c>
      <c r="E141" s="375">
        <v>0</v>
      </c>
      <c r="F141" s="376"/>
    </row>
    <row r="142" spans="1:6" ht="36.75" customHeight="1" hidden="1">
      <c r="A142" s="411" t="s">
        <v>1108</v>
      </c>
      <c r="B142" s="461" t="s">
        <v>1109</v>
      </c>
      <c r="C142" s="400">
        <f>C143</f>
        <v>0</v>
      </c>
      <c r="D142" s="400"/>
      <c r="E142" s="400"/>
      <c r="F142" s="401"/>
    </row>
    <row r="143" spans="1:6" ht="36" hidden="1">
      <c r="A143" s="460" t="s">
        <v>1110</v>
      </c>
      <c r="B143" s="462" t="s">
        <v>1111</v>
      </c>
      <c r="C143" s="375">
        <v>0</v>
      </c>
      <c r="D143" s="375"/>
      <c r="E143" s="375"/>
      <c r="F143" s="376"/>
    </row>
    <row r="144" spans="1:6" s="457" customFormat="1" ht="12" hidden="1">
      <c r="A144" s="463" t="s">
        <v>1112</v>
      </c>
      <c r="B144" s="443" t="s">
        <v>1113</v>
      </c>
      <c r="C144" s="360">
        <f>C145+C148</f>
        <v>0</v>
      </c>
      <c r="D144" s="360"/>
      <c r="E144" s="360"/>
      <c r="F144" s="361"/>
    </row>
    <row r="145" spans="1:6" s="457" customFormat="1" ht="36" hidden="1">
      <c r="A145" s="411" t="s">
        <v>1114</v>
      </c>
      <c r="B145" s="444" t="s">
        <v>1115</v>
      </c>
      <c r="C145" s="364">
        <f>C146+C147</f>
        <v>0</v>
      </c>
      <c r="D145" s="364"/>
      <c r="E145" s="364"/>
      <c r="F145" s="398"/>
    </row>
    <row r="146" spans="1:6" ht="24" hidden="1">
      <c r="A146" s="460" t="s">
        <v>1116</v>
      </c>
      <c r="B146" s="447" t="s">
        <v>1117</v>
      </c>
      <c r="C146" s="375"/>
      <c r="D146" s="375"/>
      <c r="E146" s="375"/>
      <c r="F146" s="376"/>
    </row>
    <row r="147" spans="1:6" s="28" customFormat="1" ht="36" hidden="1">
      <c r="A147" s="460" t="s">
        <v>1118</v>
      </c>
      <c r="B147" s="447" t="s">
        <v>1119</v>
      </c>
      <c r="C147" s="375"/>
      <c r="D147" s="375"/>
      <c r="E147" s="375"/>
      <c r="F147" s="376"/>
    </row>
    <row r="148" spans="1:6" ht="12.75" hidden="1">
      <c r="A148" s="394" t="s">
        <v>1120</v>
      </c>
      <c r="B148" s="367" t="s">
        <v>1121</v>
      </c>
      <c r="C148" s="405">
        <f>C149</f>
        <v>0</v>
      </c>
      <c r="D148" s="405"/>
      <c r="E148" s="405"/>
      <c r="F148" s="382"/>
    </row>
    <row r="149" spans="1:6" ht="48" hidden="1">
      <c r="A149" s="368" t="s">
        <v>1122</v>
      </c>
      <c r="B149" s="423" t="s">
        <v>1123</v>
      </c>
      <c r="C149" s="370">
        <v>0</v>
      </c>
      <c r="D149" s="370"/>
      <c r="E149" s="370"/>
      <c r="F149" s="371"/>
    </row>
    <row r="150" spans="1:6" ht="17.25" customHeight="1">
      <c r="A150" s="394" t="s">
        <v>1124</v>
      </c>
      <c r="B150" s="395" t="s">
        <v>1125</v>
      </c>
      <c r="C150" s="365">
        <f>C153+C151</f>
        <v>80000</v>
      </c>
      <c r="D150" s="365">
        <f>D153+D151</f>
        <v>0</v>
      </c>
      <c r="E150" s="365">
        <f>E153+E151</f>
        <v>0</v>
      </c>
      <c r="F150" s="366"/>
    </row>
    <row r="151" spans="1:6" ht="16.5" customHeight="1">
      <c r="A151" s="394" t="s">
        <v>1126</v>
      </c>
      <c r="B151" s="464" t="s">
        <v>1127</v>
      </c>
      <c r="C151" s="365">
        <f>C152</f>
        <v>80000</v>
      </c>
      <c r="D151" s="365">
        <f>D152</f>
        <v>0</v>
      </c>
      <c r="E151" s="365">
        <f>E152</f>
        <v>0</v>
      </c>
      <c r="F151" s="366"/>
    </row>
    <row r="152" spans="1:6" ht="17.25" customHeight="1">
      <c r="A152" s="465" t="s">
        <v>1128</v>
      </c>
      <c r="B152" s="406" t="s">
        <v>1129</v>
      </c>
      <c r="C152" s="466">
        <v>80000</v>
      </c>
      <c r="D152" s="466">
        <v>0</v>
      </c>
      <c r="E152" s="466">
        <v>0</v>
      </c>
      <c r="F152" s="467"/>
    </row>
    <row r="153" spans="1:6" ht="12.75" hidden="1">
      <c r="A153" s="417" t="s">
        <v>1130</v>
      </c>
      <c r="B153" s="440" t="s">
        <v>1131</v>
      </c>
      <c r="C153" s="468">
        <f>C154</f>
        <v>0</v>
      </c>
      <c r="D153" s="468"/>
      <c r="E153" s="468"/>
      <c r="F153" s="469"/>
    </row>
    <row r="154" spans="1:6" ht="12.75" hidden="1">
      <c r="A154" s="368" t="s">
        <v>1132</v>
      </c>
      <c r="B154" s="372" t="s">
        <v>1133</v>
      </c>
      <c r="C154" s="470"/>
      <c r="D154" s="470"/>
      <c r="E154" s="470"/>
      <c r="F154" s="471"/>
    </row>
    <row r="155" spans="1:6" ht="18" customHeight="1">
      <c r="A155" s="472" t="s">
        <v>1134</v>
      </c>
      <c r="B155" s="473" t="s">
        <v>1135</v>
      </c>
      <c r="C155" s="360">
        <f>C156+C273+C280+C277+C271</f>
        <v>555955479</v>
      </c>
      <c r="D155" s="360">
        <f>D156+D273+D280+D277</f>
        <v>617199945</v>
      </c>
      <c r="E155" s="360">
        <f>E156+E273+E280+E277</f>
        <v>638512426</v>
      </c>
      <c r="F155" s="361"/>
    </row>
    <row r="156" spans="1:6" ht="16.5" customHeight="1">
      <c r="A156" s="472" t="s">
        <v>1136</v>
      </c>
      <c r="B156" s="474" t="s">
        <v>1137</v>
      </c>
      <c r="C156" s="475">
        <f>C157+C164+C201+C264</f>
        <v>551455479</v>
      </c>
      <c r="D156" s="475">
        <f>D157+D164+D201+D264</f>
        <v>612699945</v>
      </c>
      <c r="E156" s="475">
        <f>E157+E164+E201+E264</f>
        <v>634012426</v>
      </c>
      <c r="F156" s="476"/>
    </row>
    <row r="157" spans="1:6" ht="16.5" customHeight="1">
      <c r="A157" s="477" t="s">
        <v>1138</v>
      </c>
      <c r="B157" s="478" t="s">
        <v>1139</v>
      </c>
      <c r="C157" s="475">
        <f>C158+C160+C162</f>
        <v>1322255</v>
      </c>
      <c r="D157" s="475">
        <f>D158+D160+D162</f>
        <v>1002468</v>
      </c>
      <c r="E157" s="475">
        <f>E158+E160+E162</f>
        <v>1004814</v>
      </c>
      <c r="F157" s="476"/>
    </row>
    <row r="158" spans="1:6" ht="12.75">
      <c r="A158" s="477" t="s">
        <v>1140</v>
      </c>
      <c r="B158" s="479" t="s">
        <v>1141</v>
      </c>
      <c r="C158" s="475">
        <f>C159</f>
        <v>1322255</v>
      </c>
      <c r="D158" s="475">
        <f>D159</f>
        <v>1002468</v>
      </c>
      <c r="E158" s="475">
        <f>E159</f>
        <v>1004814</v>
      </c>
      <c r="F158" s="476"/>
    </row>
    <row r="159" spans="1:6" s="28" customFormat="1" ht="25.5" customHeight="1">
      <c r="A159" s="480" t="s">
        <v>1142</v>
      </c>
      <c r="B159" s="481" t="s">
        <v>1143</v>
      </c>
      <c r="C159" s="482">
        <v>1322255</v>
      </c>
      <c r="D159" s="482">
        <v>1002468</v>
      </c>
      <c r="E159" s="482">
        <v>1004814</v>
      </c>
      <c r="F159" s="483"/>
    </row>
    <row r="160" spans="1:6" ht="12.75" hidden="1">
      <c r="A160" s="484" t="s">
        <v>1144</v>
      </c>
      <c r="B160" s="485" t="s">
        <v>1145</v>
      </c>
      <c r="C160" s="475">
        <f>C161</f>
        <v>0</v>
      </c>
      <c r="D160" s="475"/>
      <c r="E160" s="475"/>
      <c r="F160" s="476"/>
    </row>
    <row r="161" spans="1:6" ht="12.75" hidden="1">
      <c r="A161" s="480" t="s">
        <v>1146</v>
      </c>
      <c r="B161" s="486" t="s">
        <v>1147</v>
      </c>
      <c r="C161" s="482"/>
      <c r="D161" s="482"/>
      <c r="E161" s="482"/>
      <c r="F161" s="483"/>
    </row>
    <row r="162" spans="1:6" s="435" customFormat="1" ht="15" hidden="1">
      <c r="A162" s="484" t="s">
        <v>1148</v>
      </c>
      <c r="B162" s="487" t="s">
        <v>1149</v>
      </c>
      <c r="C162" s="488">
        <f>C163</f>
        <v>0</v>
      </c>
      <c r="D162" s="488"/>
      <c r="E162" s="488"/>
      <c r="F162" s="489"/>
    </row>
    <row r="163" spans="1:6" ht="12.75" hidden="1">
      <c r="A163" s="480" t="s">
        <v>1150</v>
      </c>
      <c r="B163" s="486" t="s">
        <v>1151</v>
      </c>
      <c r="C163" s="482"/>
      <c r="D163" s="482"/>
      <c r="E163" s="482"/>
      <c r="F163" s="483"/>
    </row>
    <row r="164" spans="1:6" ht="18" customHeight="1">
      <c r="A164" s="463" t="s">
        <v>1152</v>
      </c>
      <c r="B164" s="490" t="s">
        <v>1153</v>
      </c>
      <c r="C164" s="475">
        <f>C189+C165+C167+C171+C169+C185+C181+C183+C173+C179+C177+C175+C187</f>
        <v>56764622</v>
      </c>
      <c r="D164" s="475">
        <f>D189+D165+D167+D171+D169+D185+D181+D183+D173+D179+D177+D175+D187</f>
        <v>159997750</v>
      </c>
      <c r="E164" s="475">
        <f>E189+E165+E167+E171+E169+E185+E181+E183+E173+E179+E177+E175+E187</f>
        <v>183260859</v>
      </c>
      <c r="F164" s="476"/>
    </row>
    <row r="165" spans="1:6" s="23" customFormat="1" ht="12.75" hidden="1">
      <c r="A165" s="491"/>
      <c r="B165" s="492"/>
      <c r="C165" s="488">
        <f>C166</f>
        <v>0</v>
      </c>
      <c r="D165" s="488"/>
      <c r="E165" s="488"/>
      <c r="F165" s="489"/>
    </row>
    <row r="166" spans="1:6" ht="12.75" hidden="1">
      <c r="A166" s="493"/>
      <c r="B166" s="494"/>
      <c r="C166" s="482"/>
      <c r="D166" s="482"/>
      <c r="E166" s="482"/>
      <c r="F166" s="483"/>
    </row>
    <row r="167" spans="1:6" s="23" customFormat="1" ht="24" hidden="1">
      <c r="A167" s="495" t="s">
        <v>1154</v>
      </c>
      <c r="B167" s="492" t="s">
        <v>1155</v>
      </c>
      <c r="C167" s="488">
        <f>C168</f>
        <v>0</v>
      </c>
      <c r="D167" s="488"/>
      <c r="E167" s="488"/>
      <c r="F167" s="489"/>
    </row>
    <row r="168" spans="1:6" ht="24" hidden="1">
      <c r="A168" s="496" t="s">
        <v>1156</v>
      </c>
      <c r="B168" s="494" t="s">
        <v>1157</v>
      </c>
      <c r="C168" s="482"/>
      <c r="D168" s="482"/>
      <c r="E168" s="482"/>
      <c r="F168" s="483"/>
    </row>
    <row r="169" spans="1:6" ht="24" hidden="1">
      <c r="A169" s="491" t="s">
        <v>1158</v>
      </c>
      <c r="B169" s="492" t="s">
        <v>1159</v>
      </c>
      <c r="C169" s="488">
        <f>C170</f>
        <v>0</v>
      </c>
      <c r="D169" s="488"/>
      <c r="E169" s="488"/>
      <c r="F169" s="489"/>
    </row>
    <row r="170" spans="1:6" ht="24" hidden="1">
      <c r="A170" s="497" t="s">
        <v>1160</v>
      </c>
      <c r="B170" s="494" t="s">
        <v>1161</v>
      </c>
      <c r="C170" s="482"/>
      <c r="D170" s="482"/>
      <c r="E170" s="482"/>
      <c r="F170" s="483"/>
    </row>
    <row r="171" spans="1:6" ht="36.75" customHeight="1">
      <c r="A171" s="495" t="s">
        <v>1162</v>
      </c>
      <c r="B171" s="453" t="s">
        <v>1163</v>
      </c>
      <c r="C171" s="498">
        <f>C172</f>
        <v>867180</v>
      </c>
      <c r="D171" s="498">
        <f>D172</f>
        <v>0</v>
      </c>
      <c r="E171" s="498">
        <f>E172</f>
        <v>0</v>
      </c>
      <c r="F171" s="499"/>
    </row>
    <row r="172" spans="1:6" ht="34.5" customHeight="1">
      <c r="A172" s="500" t="s">
        <v>1164</v>
      </c>
      <c r="B172" s="501" t="s">
        <v>1165</v>
      </c>
      <c r="C172" s="502">
        <v>867180</v>
      </c>
      <c r="D172" s="502">
        <v>0</v>
      </c>
      <c r="E172" s="502">
        <v>0</v>
      </c>
      <c r="F172" s="503"/>
    </row>
    <row r="173" spans="1:6" ht="33.75" customHeight="1" hidden="1">
      <c r="A173" s="504" t="s">
        <v>1166</v>
      </c>
      <c r="B173" s="505" t="s">
        <v>1167</v>
      </c>
      <c r="C173" s="498">
        <f>C174</f>
        <v>0</v>
      </c>
      <c r="D173" s="498">
        <f>D174</f>
        <v>0</v>
      </c>
      <c r="E173" s="498">
        <f>E174</f>
        <v>0</v>
      </c>
      <c r="F173" s="506"/>
    </row>
    <row r="174" spans="1:6" ht="36.75" customHeight="1" hidden="1">
      <c r="A174" s="496" t="s">
        <v>1168</v>
      </c>
      <c r="B174" s="501" t="s">
        <v>1169</v>
      </c>
      <c r="C174" s="502"/>
      <c r="D174" s="507">
        <v>0</v>
      </c>
      <c r="E174" s="507">
        <v>0</v>
      </c>
      <c r="F174" s="503"/>
    </row>
    <row r="175" spans="1:6" ht="24.75" customHeight="1">
      <c r="A175" s="495" t="s">
        <v>1170</v>
      </c>
      <c r="B175" s="453" t="s">
        <v>1171</v>
      </c>
      <c r="C175" s="498">
        <f>C176</f>
        <v>2725843</v>
      </c>
      <c r="D175" s="498">
        <f>D176</f>
        <v>2725843</v>
      </c>
      <c r="E175" s="498">
        <f>E176</f>
        <v>3292585</v>
      </c>
      <c r="F175" s="503"/>
    </row>
    <row r="176" spans="1:6" ht="36" customHeight="1">
      <c r="A176" s="500" t="s">
        <v>1172</v>
      </c>
      <c r="B176" s="501" t="s">
        <v>1173</v>
      </c>
      <c r="C176" s="507">
        <f>2671326+54517</f>
        <v>2725843</v>
      </c>
      <c r="D176" s="507">
        <f>2671326+54517</f>
        <v>2725843</v>
      </c>
      <c r="E176" s="507">
        <v>3292585</v>
      </c>
      <c r="F176" s="503"/>
    </row>
    <row r="177" spans="1:6" s="435" customFormat="1" ht="24" customHeight="1" hidden="1">
      <c r="A177" s="508"/>
      <c r="B177" s="509"/>
      <c r="C177" s="510">
        <f>C178</f>
        <v>0</v>
      </c>
      <c r="D177" s="510">
        <f>D178</f>
        <v>0</v>
      </c>
      <c r="E177" s="510">
        <f>E178</f>
        <v>0</v>
      </c>
      <c r="F177" s="511"/>
    </row>
    <row r="178" spans="1:6" ht="26.25" customHeight="1" hidden="1">
      <c r="A178" s="512"/>
      <c r="B178" s="513"/>
      <c r="C178" s="514"/>
      <c r="D178" s="514"/>
      <c r="E178" s="514"/>
      <c r="F178" s="515"/>
    </row>
    <row r="179" spans="1:6" ht="24" customHeight="1">
      <c r="A179" s="495" t="s">
        <v>1174</v>
      </c>
      <c r="B179" s="516" t="s">
        <v>1175</v>
      </c>
      <c r="C179" s="475">
        <f>C180</f>
        <v>7265132</v>
      </c>
      <c r="D179" s="475">
        <f>D180</f>
        <v>6897223</v>
      </c>
      <c r="E179" s="475">
        <f>E180</f>
        <v>6705993</v>
      </c>
      <c r="F179" s="476"/>
    </row>
    <row r="180" spans="1:6" ht="24" customHeight="1">
      <c r="A180" s="500" t="s">
        <v>1176</v>
      </c>
      <c r="B180" s="517" t="s">
        <v>1177</v>
      </c>
      <c r="C180" s="502">
        <v>7265132</v>
      </c>
      <c r="D180" s="507">
        <v>6897223</v>
      </c>
      <c r="E180" s="507">
        <v>6705993</v>
      </c>
      <c r="F180" s="483"/>
    </row>
    <row r="181" spans="1:6" ht="24" hidden="1">
      <c r="A181" s="495" t="s">
        <v>1178</v>
      </c>
      <c r="B181" s="518" t="s">
        <v>1179</v>
      </c>
      <c r="C181" s="488">
        <f>C182</f>
        <v>0</v>
      </c>
      <c r="D181" s="488">
        <f>D182</f>
        <v>0</v>
      </c>
      <c r="E181" s="488">
        <f>E182</f>
        <v>0</v>
      </c>
      <c r="F181" s="489"/>
    </row>
    <row r="182" spans="1:6" ht="24" hidden="1">
      <c r="A182" s="496" t="s">
        <v>1180</v>
      </c>
      <c r="B182" s="519" t="s">
        <v>1181</v>
      </c>
      <c r="C182" s="482">
        <v>0</v>
      </c>
      <c r="D182" s="482">
        <v>0</v>
      </c>
      <c r="E182" s="482">
        <v>0</v>
      </c>
      <c r="F182" s="483"/>
    </row>
    <row r="183" spans="1:6" ht="24" hidden="1">
      <c r="A183" s="520" t="s">
        <v>1182</v>
      </c>
      <c r="B183" s="521" t="s">
        <v>1183</v>
      </c>
      <c r="C183" s="488">
        <f>C184</f>
        <v>0</v>
      </c>
      <c r="D183" s="488"/>
      <c r="E183" s="488"/>
      <c r="F183" s="489"/>
    </row>
    <row r="184" spans="1:6" ht="25.5" hidden="1">
      <c r="A184" s="496" t="s">
        <v>1184</v>
      </c>
      <c r="B184" s="522" t="s">
        <v>1185</v>
      </c>
      <c r="C184" s="482"/>
      <c r="D184" s="482"/>
      <c r="E184" s="482"/>
      <c r="F184" s="483"/>
    </row>
    <row r="185" spans="1:6" s="429" customFormat="1" ht="15" hidden="1">
      <c r="A185" s="495" t="s">
        <v>1186</v>
      </c>
      <c r="B185" s="523" t="s">
        <v>1187</v>
      </c>
      <c r="C185" s="488">
        <f>C186</f>
        <v>0</v>
      </c>
      <c r="D185" s="488">
        <f>D186</f>
        <v>0</v>
      </c>
      <c r="E185" s="488">
        <f>E186</f>
        <v>0</v>
      </c>
      <c r="F185" s="489"/>
    </row>
    <row r="186" spans="1:6" ht="12.75" hidden="1">
      <c r="A186" s="496" t="s">
        <v>1188</v>
      </c>
      <c r="B186" s="524" t="s">
        <v>1189</v>
      </c>
      <c r="C186" s="482"/>
      <c r="D186" s="482">
        <v>0</v>
      </c>
      <c r="E186" s="482">
        <v>0</v>
      </c>
      <c r="F186" s="483"/>
    </row>
    <row r="187" spans="1:6" ht="18.75" customHeight="1">
      <c r="A187" s="525" t="s">
        <v>1190</v>
      </c>
      <c r="B187" s="526" t="s">
        <v>1191</v>
      </c>
      <c r="C187" s="475">
        <f>C188</f>
        <v>0</v>
      </c>
      <c r="D187" s="475">
        <f>D188</f>
        <v>127485059</v>
      </c>
      <c r="E187" s="475">
        <f>E188</f>
        <v>171253375</v>
      </c>
      <c r="F187" s="483"/>
    </row>
    <row r="188" spans="1:6" ht="25.5">
      <c r="A188" s="500" t="s">
        <v>1192</v>
      </c>
      <c r="B188" s="527" t="s">
        <v>1193</v>
      </c>
      <c r="C188" s="514">
        <v>0</v>
      </c>
      <c r="D188" s="514">
        <v>127485059</v>
      </c>
      <c r="E188" s="514">
        <v>171253375</v>
      </c>
      <c r="F188" s="483"/>
    </row>
    <row r="189" spans="1:6" ht="19.5" customHeight="1">
      <c r="A189" s="528" t="s">
        <v>1194</v>
      </c>
      <c r="B189" s="529" t="s">
        <v>1195</v>
      </c>
      <c r="C189" s="475">
        <f>C190</f>
        <v>45906467</v>
      </c>
      <c r="D189" s="475">
        <f>D190</f>
        <v>22889625</v>
      </c>
      <c r="E189" s="475">
        <f>E190</f>
        <v>2008906</v>
      </c>
      <c r="F189" s="476"/>
    </row>
    <row r="190" spans="1:6" ht="20.25" customHeight="1">
      <c r="A190" s="528" t="s">
        <v>1196</v>
      </c>
      <c r="B190" s="530" t="s">
        <v>1197</v>
      </c>
      <c r="C190" s="475">
        <f>SUM(C192:C200)</f>
        <v>45906467</v>
      </c>
      <c r="D190" s="475">
        <f>SUM(D192:D200)</f>
        <v>22889625</v>
      </c>
      <c r="E190" s="475">
        <f>SUM(E192:E200)</f>
        <v>2008906</v>
      </c>
      <c r="F190" s="483"/>
    </row>
    <row r="191" spans="1:6" ht="12.75">
      <c r="A191" s="531"/>
      <c r="B191" s="532" t="s">
        <v>1198</v>
      </c>
      <c r="C191" s="482"/>
      <c r="D191" s="482"/>
      <c r="E191" s="482"/>
      <c r="F191" s="483"/>
    </row>
    <row r="192" spans="1:6" ht="19.5" customHeight="1">
      <c r="A192" s="531" t="s">
        <v>1196</v>
      </c>
      <c r="B192" s="533" t="s">
        <v>1199</v>
      </c>
      <c r="C192" s="502">
        <v>2400000</v>
      </c>
      <c r="D192" s="502">
        <v>0</v>
      </c>
      <c r="E192" s="502">
        <v>0</v>
      </c>
      <c r="F192" s="503"/>
    </row>
    <row r="193" spans="1:6" ht="24.75" customHeight="1">
      <c r="A193" s="531" t="s">
        <v>1196</v>
      </c>
      <c r="B193" s="534" t="s">
        <v>1200</v>
      </c>
      <c r="C193" s="502">
        <v>809426</v>
      </c>
      <c r="D193" s="502">
        <v>766347</v>
      </c>
      <c r="E193" s="502">
        <v>535083</v>
      </c>
      <c r="F193" s="503"/>
    </row>
    <row r="194" spans="1:6" ht="25.5" customHeight="1">
      <c r="A194" s="531" t="s">
        <v>1196</v>
      </c>
      <c r="B194" s="535" t="s">
        <v>1201</v>
      </c>
      <c r="C194" s="514">
        <v>5659547</v>
      </c>
      <c r="D194" s="514">
        <v>0</v>
      </c>
      <c r="E194" s="514">
        <v>0</v>
      </c>
      <c r="F194" s="515"/>
    </row>
    <row r="195" spans="1:6" ht="24.75" customHeight="1">
      <c r="A195" s="531" t="s">
        <v>1196</v>
      </c>
      <c r="B195" s="536" t="s">
        <v>1202</v>
      </c>
      <c r="C195" s="537">
        <v>656772</v>
      </c>
      <c r="D195" s="537">
        <v>656772</v>
      </c>
      <c r="E195" s="537">
        <v>656772</v>
      </c>
      <c r="F195" s="538"/>
    </row>
    <row r="196" spans="1:6" ht="24" customHeight="1">
      <c r="A196" s="531" t="s">
        <v>1196</v>
      </c>
      <c r="B196" s="536" t="s">
        <v>1203</v>
      </c>
      <c r="C196" s="502">
        <v>805802</v>
      </c>
      <c r="D196" s="502">
        <v>805802</v>
      </c>
      <c r="E196" s="502">
        <v>805802</v>
      </c>
      <c r="F196" s="503"/>
    </row>
    <row r="197" spans="1:6" ht="24" customHeight="1">
      <c r="A197" s="531" t="s">
        <v>1196</v>
      </c>
      <c r="B197" s="534" t="s">
        <v>1204</v>
      </c>
      <c r="C197" s="502">
        <v>1020239</v>
      </c>
      <c r="D197" s="502">
        <v>0</v>
      </c>
      <c r="E197" s="502">
        <v>0</v>
      </c>
      <c r="F197" s="503"/>
    </row>
    <row r="198" spans="1:6" ht="18" customHeight="1">
      <c r="A198" s="531" t="s">
        <v>1196</v>
      </c>
      <c r="B198" s="539" t="s">
        <v>1205</v>
      </c>
      <c r="C198" s="502">
        <v>11249</v>
      </c>
      <c r="D198" s="502">
        <v>11249</v>
      </c>
      <c r="E198" s="502">
        <v>11249</v>
      </c>
      <c r="F198" s="483"/>
    </row>
    <row r="199" spans="1:6" ht="24.75" customHeight="1">
      <c r="A199" s="531" t="s">
        <v>1196</v>
      </c>
      <c r="B199" s="534" t="s">
        <v>1206</v>
      </c>
      <c r="C199" s="502">
        <v>34543432</v>
      </c>
      <c r="D199" s="502">
        <v>20649455</v>
      </c>
      <c r="E199" s="502">
        <v>0</v>
      </c>
      <c r="F199" s="483"/>
    </row>
    <row r="200" spans="1:6" ht="0.75" customHeight="1" hidden="1">
      <c r="A200" s="531" t="s">
        <v>1196</v>
      </c>
      <c r="B200" s="540" t="s">
        <v>1207</v>
      </c>
      <c r="C200" s="502"/>
      <c r="D200" s="502"/>
      <c r="E200" s="502"/>
      <c r="F200" s="503"/>
    </row>
    <row r="201" spans="1:6" ht="18" customHeight="1">
      <c r="A201" s="411" t="s">
        <v>1208</v>
      </c>
      <c r="B201" s="541" t="s">
        <v>1209</v>
      </c>
      <c r="C201" s="475">
        <f>C204+C208+C216+C218+C220+C222+C224+C236+C226+C231+C233+C228+C202+C210+C214+C206</f>
        <v>492945802</v>
      </c>
      <c r="D201" s="475">
        <f>D204+D208+D216+D218+D220+D222+D224+D236+D226+D231+D233+D228+D202+D210+D214+D206</f>
        <v>451699727</v>
      </c>
      <c r="E201" s="475">
        <f>E204+E208+E216+E218+E220+E222+E224+E236+E226+E231+E233+E228+E202+E210+E214+E206</f>
        <v>449746753</v>
      </c>
      <c r="F201" s="476"/>
    </row>
    <row r="202" spans="1:6" ht="24.75" customHeight="1">
      <c r="A202" s="411" t="s">
        <v>1210</v>
      </c>
      <c r="B202" s="542" t="s">
        <v>1211</v>
      </c>
      <c r="C202" s="498">
        <f>C203</f>
        <v>39216</v>
      </c>
      <c r="D202" s="498">
        <f>D203</f>
        <v>39216</v>
      </c>
      <c r="E202" s="498">
        <f>E203</f>
        <v>39216</v>
      </c>
      <c r="F202" s="499"/>
    </row>
    <row r="203" spans="1:6" ht="23.25" customHeight="1">
      <c r="A203" s="169" t="s">
        <v>1212</v>
      </c>
      <c r="B203" s="534" t="s">
        <v>1213</v>
      </c>
      <c r="C203" s="502">
        <v>39216</v>
      </c>
      <c r="D203" s="502">
        <v>39216</v>
      </c>
      <c r="E203" s="502">
        <v>39216</v>
      </c>
      <c r="F203" s="503"/>
    </row>
    <row r="204" spans="1:6" ht="24" customHeight="1">
      <c r="A204" s="411" t="s">
        <v>1214</v>
      </c>
      <c r="B204" s="543" t="s">
        <v>1215</v>
      </c>
      <c r="C204" s="498">
        <f>C205</f>
        <v>11155617</v>
      </c>
      <c r="D204" s="498">
        <f>D205</f>
        <v>11155617</v>
      </c>
      <c r="E204" s="498">
        <f>E205</f>
        <v>11155617</v>
      </c>
      <c r="F204" s="499"/>
    </row>
    <row r="205" spans="1:6" ht="25.5" customHeight="1">
      <c r="A205" s="169" t="s">
        <v>1216</v>
      </c>
      <c r="B205" s="527" t="s">
        <v>1217</v>
      </c>
      <c r="C205" s="502">
        <v>11155617</v>
      </c>
      <c r="D205" s="502">
        <v>11155617</v>
      </c>
      <c r="E205" s="502">
        <v>11155617</v>
      </c>
      <c r="F205" s="503"/>
    </row>
    <row r="206" spans="1:6" s="545" customFormat="1" ht="24" customHeight="1">
      <c r="A206" s="411" t="s">
        <v>1218</v>
      </c>
      <c r="B206" s="544" t="s">
        <v>1219</v>
      </c>
      <c r="C206" s="498">
        <f>C207</f>
        <v>11769573</v>
      </c>
      <c r="D206" s="498">
        <f>D207</f>
        <v>2942394</v>
      </c>
      <c r="E206" s="498">
        <f>E207</f>
        <v>17654360</v>
      </c>
      <c r="F206" s="506"/>
    </row>
    <row r="207" spans="1:6" ht="27.75" customHeight="1">
      <c r="A207" s="169" t="s">
        <v>1220</v>
      </c>
      <c r="B207" s="377" t="s">
        <v>1219</v>
      </c>
      <c r="C207" s="502">
        <v>11769573</v>
      </c>
      <c r="D207" s="502">
        <v>2942394</v>
      </c>
      <c r="E207" s="502">
        <v>17654360</v>
      </c>
      <c r="F207" s="503"/>
    </row>
    <row r="208" spans="1:6" ht="24">
      <c r="A208" s="546" t="s">
        <v>1221</v>
      </c>
      <c r="B208" s="516" t="s">
        <v>1222</v>
      </c>
      <c r="C208" s="498">
        <f>C209</f>
        <v>2737</v>
      </c>
      <c r="D208" s="498">
        <f>D209</f>
        <v>0</v>
      </c>
      <c r="E208" s="498">
        <f>E209</f>
        <v>0</v>
      </c>
      <c r="F208" s="489"/>
    </row>
    <row r="209" spans="1:6" s="28" customFormat="1" ht="25.5" customHeight="1">
      <c r="A209" s="547" t="s">
        <v>1223</v>
      </c>
      <c r="B209" s="517" t="s">
        <v>1224</v>
      </c>
      <c r="C209" s="502">
        <v>2737</v>
      </c>
      <c r="D209" s="502"/>
      <c r="E209" s="502"/>
      <c r="F209" s="483"/>
    </row>
    <row r="210" spans="1:6" s="549" customFormat="1" ht="24" hidden="1">
      <c r="A210" s="546" t="s">
        <v>1225</v>
      </c>
      <c r="B210" s="548" t="s">
        <v>1226</v>
      </c>
      <c r="C210" s="475">
        <f>C211+C212+C213</f>
        <v>0</v>
      </c>
      <c r="D210" s="475">
        <f>D211+D212+D213</f>
        <v>0</v>
      </c>
      <c r="E210" s="475">
        <f>E211+E212+E213</f>
        <v>0</v>
      </c>
      <c r="F210" s="476"/>
    </row>
    <row r="211" spans="1:6" s="28" customFormat="1" ht="12.75" hidden="1">
      <c r="A211" s="547" t="s">
        <v>1227</v>
      </c>
      <c r="B211" s="550"/>
      <c r="C211" s="482">
        <v>0</v>
      </c>
      <c r="D211" s="482">
        <v>0</v>
      </c>
      <c r="E211" s="482">
        <v>0</v>
      </c>
      <c r="F211" s="483"/>
    </row>
    <row r="212" spans="1:6" s="28" customFormat="1" ht="12.75" hidden="1">
      <c r="A212" s="547" t="s">
        <v>1227</v>
      </c>
      <c r="B212" s="550"/>
      <c r="C212" s="482"/>
      <c r="D212" s="482"/>
      <c r="E212" s="482"/>
      <c r="F212" s="483"/>
    </row>
    <row r="213" spans="1:6" s="28" customFormat="1" ht="12.75" hidden="1">
      <c r="A213" s="547" t="s">
        <v>1227</v>
      </c>
      <c r="B213" s="550"/>
      <c r="C213" s="482"/>
      <c r="D213" s="482"/>
      <c r="E213" s="482"/>
      <c r="F213" s="483"/>
    </row>
    <row r="214" spans="1:6" s="549" customFormat="1" ht="48" customHeight="1">
      <c r="A214" s="546" t="s">
        <v>1228</v>
      </c>
      <c r="B214" s="543" t="s">
        <v>1229</v>
      </c>
      <c r="C214" s="498">
        <f>C215</f>
        <v>16327080</v>
      </c>
      <c r="D214" s="498">
        <f>D215</f>
        <v>16327080</v>
      </c>
      <c r="E214" s="498">
        <f>E215</f>
        <v>16327080</v>
      </c>
      <c r="F214" s="476"/>
    </row>
    <row r="215" spans="1:6" s="28" customFormat="1" ht="52.5" customHeight="1">
      <c r="A215" s="547" t="s">
        <v>1230</v>
      </c>
      <c r="B215" s="527" t="s">
        <v>1231</v>
      </c>
      <c r="C215" s="502">
        <v>16327080</v>
      </c>
      <c r="D215" s="502">
        <v>16327080</v>
      </c>
      <c r="E215" s="502">
        <v>16327080</v>
      </c>
      <c r="F215" s="483"/>
    </row>
    <row r="216" spans="1:6" s="457" customFormat="1" ht="12" hidden="1">
      <c r="A216" s="411" t="s">
        <v>1232</v>
      </c>
      <c r="B216" s="551" t="s">
        <v>1233</v>
      </c>
      <c r="C216" s="475">
        <f>C217</f>
        <v>0</v>
      </c>
      <c r="D216" s="475"/>
      <c r="E216" s="475"/>
      <c r="F216" s="476"/>
    </row>
    <row r="217" spans="1:6" s="28" customFormat="1" ht="12.75" hidden="1">
      <c r="A217" s="480" t="s">
        <v>1234</v>
      </c>
      <c r="B217" s="552" t="s">
        <v>1235</v>
      </c>
      <c r="C217" s="482"/>
      <c r="D217" s="482"/>
      <c r="E217" s="482"/>
      <c r="F217" s="483"/>
    </row>
    <row r="218" spans="1:6" ht="17.25" customHeight="1">
      <c r="A218" s="463" t="s">
        <v>1236</v>
      </c>
      <c r="B218" s="490" t="s">
        <v>1237</v>
      </c>
      <c r="C218" s="475">
        <f>C219</f>
        <v>1086000</v>
      </c>
      <c r="D218" s="475">
        <f>D219</f>
        <v>1138000</v>
      </c>
      <c r="E218" s="475">
        <f>E219</f>
        <v>1180000</v>
      </c>
      <c r="F218" s="489"/>
    </row>
    <row r="219" spans="1:6" ht="16.5" customHeight="1">
      <c r="A219" s="553" t="s">
        <v>1238</v>
      </c>
      <c r="B219" s="554" t="s">
        <v>1239</v>
      </c>
      <c r="C219" s="555">
        <v>1086000</v>
      </c>
      <c r="D219" s="514">
        <v>1138000</v>
      </c>
      <c r="E219" s="514">
        <v>1180000</v>
      </c>
      <c r="F219" s="483"/>
    </row>
    <row r="220" spans="1:6" ht="25.5" hidden="1">
      <c r="A220" s="169" t="s">
        <v>1240</v>
      </c>
      <c r="B220" s="556" t="s">
        <v>1241</v>
      </c>
      <c r="C220" s="482">
        <f>C221</f>
        <v>0</v>
      </c>
      <c r="D220" s="482"/>
      <c r="E220" s="482"/>
      <c r="F220" s="483"/>
    </row>
    <row r="221" spans="1:6" ht="25.5" hidden="1">
      <c r="A221" s="169" t="s">
        <v>1242</v>
      </c>
      <c r="B221" s="556" t="s">
        <v>1243</v>
      </c>
      <c r="C221" s="482"/>
      <c r="D221" s="482"/>
      <c r="E221" s="482"/>
      <c r="F221" s="483"/>
    </row>
    <row r="222" spans="1:6" ht="26.25" customHeight="1" hidden="1">
      <c r="A222" s="169" t="s">
        <v>1244</v>
      </c>
      <c r="B222" s="556" t="s">
        <v>1245</v>
      </c>
      <c r="C222" s="482">
        <f>C223</f>
        <v>0</v>
      </c>
      <c r="D222" s="482"/>
      <c r="E222" s="482"/>
      <c r="F222" s="483"/>
    </row>
    <row r="223" spans="1:6" ht="0.75" customHeight="1" hidden="1">
      <c r="A223" s="169" t="s">
        <v>1246</v>
      </c>
      <c r="B223" s="557"/>
      <c r="C223" s="482"/>
      <c r="D223" s="482"/>
      <c r="E223" s="482"/>
      <c r="F223" s="483"/>
    </row>
    <row r="224" spans="1:6" ht="38.25" customHeight="1" hidden="1">
      <c r="A224" s="558"/>
      <c r="B224" s="559"/>
      <c r="C224" s="482">
        <f>C225</f>
        <v>0</v>
      </c>
      <c r="D224" s="482"/>
      <c r="E224" s="482"/>
      <c r="F224" s="483"/>
    </row>
    <row r="225" spans="1:6" ht="41.25" customHeight="1" hidden="1">
      <c r="A225" s="558"/>
      <c r="B225" s="559"/>
      <c r="C225" s="482"/>
      <c r="D225" s="482"/>
      <c r="E225" s="482"/>
      <c r="F225" s="483"/>
    </row>
    <row r="226" spans="1:6" ht="12.75" hidden="1">
      <c r="A226" s="560" t="s">
        <v>1247</v>
      </c>
      <c r="B226" s="552"/>
      <c r="C226" s="482">
        <f>C227</f>
        <v>0</v>
      </c>
      <c r="D226" s="482"/>
      <c r="E226" s="482"/>
      <c r="F226" s="483"/>
    </row>
    <row r="227" spans="1:6" ht="17.25" customHeight="1" hidden="1">
      <c r="A227" s="560" t="s">
        <v>1248</v>
      </c>
      <c r="B227" s="561"/>
      <c r="C227" s="482"/>
      <c r="D227" s="482"/>
      <c r="E227" s="482"/>
      <c r="F227" s="483"/>
    </row>
    <row r="228" spans="1:6" ht="24" customHeight="1" hidden="1">
      <c r="A228" s="562" t="s">
        <v>1249</v>
      </c>
      <c r="B228" s="563" t="s">
        <v>1250</v>
      </c>
      <c r="C228" s="482"/>
      <c r="D228" s="482"/>
      <c r="E228" s="482"/>
      <c r="F228" s="483"/>
    </row>
    <row r="229" spans="1:6" ht="16.5" customHeight="1" hidden="1">
      <c r="A229" s="562" t="s">
        <v>1251</v>
      </c>
      <c r="B229" s="563" t="s">
        <v>1252</v>
      </c>
      <c r="C229" s="482"/>
      <c r="D229" s="482"/>
      <c r="E229" s="482"/>
      <c r="F229" s="483"/>
    </row>
    <row r="230" spans="1:6" ht="63.75" hidden="1">
      <c r="A230" s="562" t="s">
        <v>1251</v>
      </c>
      <c r="B230" s="563" t="s">
        <v>1253</v>
      </c>
      <c r="C230" s="482"/>
      <c r="D230" s="482"/>
      <c r="E230" s="482"/>
      <c r="F230" s="483"/>
    </row>
    <row r="231" spans="1:6" ht="12.75" hidden="1">
      <c r="A231" s="562"/>
      <c r="B231" s="552"/>
      <c r="C231" s="482"/>
      <c r="D231" s="482"/>
      <c r="E231" s="482"/>
      <c r="F231" s="483"/>
    </row>
    <row r="232" spans="1:6" ht="6" customHeight="1" hidden="1">
      <c r="A232" s="562"/>
      <c r="B232" s="564"/>
      <c r="C232" s="482"/>
      <c r="D232" s="482"/>
      <c r="E232" s="482"/>
      <c r="F232" s="483"/>
    </row>
    <row r="233" spans="1:6" ht="17.25" customHeight="1" hidden="1">
      <c r="A233" s="562"/>
      <c r="B233" s="565"/>
      <c r="C233" s="482"/>
      <c r="D233" s="482"/>
      <c r="E233" s="482"/>
      <c r="F233" s="483"/>
    </row>
    <row r="234" spans="1:6" ht="12.75" hidden="1">
      <c r="A234" s="562"/>
      <c r="B234" s="565"/>
      <c r="C234" s="482"/>
      <c r="D234" s="482"/>
      <c r="E234" s="482"/>
      <c r="F234" s="483"/>
    </row>
    <row r="235" spans="1:6" s="566" customFormat="1" ht="17.25" customHeight="1">
      <c r="A235" s="463" t="s">
        <v>1254</v>
      </c>
      <c r="B235" s="530" t="s">
        <v>1255</v>
      </c>
      <c r="C235" s="475">
        <f>C236</f>
        <v>452565579</v>
      </c>
      <c r="D235" s="475">
        <f>D236</f>
        <v>420097420</v>
      </c>
      <c r="E235" s="475">
        <f>E236</f>
        <v>403390480</v>
      </c>
      <c r="F235" s="476"/>
    </row>
    <row r="236" spans="1:6" ht="15.75" customHeight="1">
      <c r="A236" s="411" t="s">
        <v>1256</v>
      </c>
      <c r="B236" s="530" t="s">
        <v>1257</v>
      </c>
      <c r="C236" s="475">
        <f>SUM(C238:C263)</f>
        <v>452565579</v>
      </c>
      <c r="D236" s="475">
        <f>SUM(D238:D263)</f>
        <v>420097420</v>
      </c>
      <c r="E236" s="475">
        <f>SUM(E238:E263)</f>
        <v>403390480</v>
      </c>
      <c r="F236" s="476"/>
    </row>
    <row r="237" spans="1:6" ht="13.5" customHeight="1">
      <c r="A237" s="480"/>
      <c r="B237" s="532" t="s">
        <v>1198</v>
      </c>
      <c r="C237" s="482"/>
      <c r="D237" s="482"/>
      <c r="E237" s="482"/>
      <c r="F237" s="483"/>
    </row>
    <row r="238" spans="1:6" ht="24" customHeight="1">
      <c r="A238" s="480" t="s">
        <v>1256</v>
      </c>
      <c r="B238" s="567" t="s">
        <v>1258</v>
      </c>
      <c r="C238" s="502">
        <v>1044300</v>
      </c>
      <c r="D238" s="502">
        <v>1044300</v>
      </c>
      <c r="E238" s="502">
        <v>1044300</v>
      </c>
      <c r="F238" s="503"/>
    </row>
    <row r="239" spans="1:6" ht="36.75" customHeight="1">
      <c r="A239" s="480" t="s">
        <v>1256</v>
      </c>
      <c r="B239" s="534" t="s">
        <v>1259</v>
      </c>
      <c r="C239" s="502">
        <v>323005174</v>
      </c>
      <c r="D239" s="502">
        <v>308061532</v>
      </c>
      <c r="E239" s="502">
        <v>292108268</v>
      </c>
      <c r="F239" s="503"/>
    </row>
    <row r="240" spans="1:6" ht="12.75" hidden="1">
      <c r="A240" s="480" t="s">
        <v>1256</v>
      </c>
      <c r="B240" s="534"/>
      <c r="C240" s="502"/>
      <c r="D240" s="502"/>
      <c r="E240" s="502"/>
      <c r="F240" s="503"/>
    </row>
    <row r="241" spans="1:6" ht="36" customHeight="1">
      <c r="A241" s="480" t="s">
        <v>1256</v>
      </c>
      <c r="B241" s="534" t="s">
        <v>1260</v>
      </c>
      <c r="C241" s="502">
        <v>26023500</v>
      </c>
      <c r="D241" s="502">
        <v>15399912</v>
      </c>
      <c r="E241" s="502">
        <v>15399912</v>
      </c>
      <c r="F241" s="503"/>
    </row>
    <row r="242" spans="1:6" ht="35.25" customHeight="1">
      <c r="A242" s="480" t="s">
        <v>1256</v>
      </c>
      <c r="B242" s="534" t="s">
        <v>1261</v>
      </c>
      <c r="C242" s="502">
        <v>340148</v>
      </c>
      <c r="D242" s="502">
        <v>314993</v>
      </c>
      <c r="E242" s="502">
        <v>314993</v>
      </c>
      <c r="F242" s="503"/>
    </row>
    <row r="243" spans="1:6" ht="36" customHeight="1">
      <c r="A243" s="480" t="s">
        <v>1256</v>
      </c>
      <c r="B243" s="534" t="s">
        <v>1262</v>
      </c>
      <c r="C243" s="502">
        <v>72149054</v>
      </c>
      <c r="D243" s="502">
        <v>67486657</v>
      </c>
      <c r="E243" s="502">
        <v>67486657</v>
      </c>
      <c r="F243" s="503"/>
    </row>
    <row r="244" spans="1:6" ht="34.5" customHeight="1">
      <c r="A244" s="480" t="s">
        <v>1256</v>
      </c>
      <c r="B244" s="568" t="s">
        <v>1263</v>
      </c>
      <c r="C244" s="502">
        <v>1141242</v>
      </c>
      <c r="D244" s="502">
        <v>686442</v>
      </c>
      <c r="E244" s="502">
        <v>686442</v>
      </c>
      <c r="F244" s="503"/>
    </row>
    <row r="245" spans="1:6" ht="36" customHeight="1">
      <c r="A245" s="480" t="s">
        <v>1256</v>
      </c>
      <c r="B245" s="534" t="s">
        <v>1264</v>
      </c>
      <c r="C245" s="502">
        <v>194944</v>
      </c>
      <c r="D245" s="502">
        <v>194944</v>
      </c>
      <c r="E245" s="502">
        <v>194944</v>
      </c>
      <c r="F245" s="503"/>
    </row>
    <row r="246" spans="1:6" ht="12.75" hidden="1">
      <c r="A246" s="480" t="s">
        <v>1256</v>
      </c>
      <c r="B246" s="534"/>
      <c r="C246" s="502"/>
      <c r="D246" s="502"/>
      <c r="E246" s="502"/>
      <c r="F246" s="503"/>
    </row>
    <row r="247" spans="1:6" ht="12.75" hidden="1">
      <c r="A247" s="480" t="s">
        <v>1256</v>
      </c>
      <c r="B247" s="534"/>
      <c r="C247" s="502"/>
      <c r="D247" s="502"/>
      <c r="E247" s="502"/>
      <c r="F247" s="503"/>
    </row>
    <row r="248" spans="1:6" ht="35.25" customHeight="1">
      <c r="A248" s="480" t="s">
        <v>1256</v>
      </c>
      <c r="B248" s="534" t="s">
        <v>1265</v>
      </c>
      <c r="C248" s="502">
        <v>2042515</v>
      </c>
      <c r="D248" s="502">
        <v>2042515</v>
      </c>
      <c r="E248" s="502">
        <v>2042515</v>
      </c>
      <c r="F248" s="503"/>
    </row>
    <row r="249" spans="1:6" ht="25.5" customHeight="1">
      <c r="A249" s="480" t="s">
        <v>1256</v>
      </c>
      <c r="B249" s="524" t="s">
        <v>1266</v>
      </c>
      <c r="C249" s="502">
        <v>369408</v>
      </c>
      <c r="D249" s="502">
        <v>369408</v>
      </c>
      <c r="E249" s="502">
        <v>369408</v>
      </c>
      <c r="F249" s="503"/>
    </row>
    <row r="250" spans="1:6" ht="24.75" customHeight="1">
      <c r="A250" s="480" t="s">
        <v>1256</v>
      </c>
      <c r="B250" s="534" t="s">
        <v>1267</v>
      </c>
      <c r="C250" s="502">
        <v>348100</v>
      </c>
      <c r="D250" s="502">
        <v>348100</v>
      </c>
      <c r="E250" s="502">
        <v>348100</v>
      </c>
      <c r="F250" s="503"/>
    </row>
    <row r="251" spans="1:6" ht="24.75" customHeight="1">
      <c r="A251" s="480" t="s">
        <v>1256</v>
      </c>
      <c r="B251" s="534" t="s">
        <v>1268</v>
      </c>
      <c r="C251" s="502">
        <v>348100</v>
      </c>
      <c r="D251" s="502">
        <v>348100</v>
      </c>
      <c r="E251" s="502">
        <v>348100</v>
      </c>
      <c r="F251" s="503"/>
    </row>
    <row r="252" spans="1:6" ht="25.5" customHeight="1">
      <c r="A252" s="480" t="s">
        <v>1256</v>
      </c>
      <c r="B252" s="524" t="s">
        <v>1269</v>
      </c>
      <c r="C252" s="502">
        <v>348100</v>
      </c>
      <c r="D252" s="502">
        <v>348100</v>
      </c>
      <c r="E252" s="502">
        <v>348100</v>
      </c>
      <c r="F252" s="503"/>
    </row>
    <row r="253" spans="1:6" ht="12.75" hidden="1">
      <c r="A253" s="480" t="s">
        <v>1256</v>
      </c>
      <c r="B253" s="524"/>
      <c r="C253" s="502"/>
      <c r="D253" s="502"/>
      <c r="E253" s="502"/>
      <c r="F253" s="503"/>
    </row>
    <row r="254" spans="1:6" ht="25.5" customHeight="1">
      <c r="A254" s="480" t="s">
        <v>1256</v>
      </c>
      <c r="B254" s="556" t="s">
        <v>1270</v>
      </c>
      <c r="C254" s="502">
        <v>9015773</v>
      </c>
      <c r="D254" s="502">
        <v>9015773</v>
      </c>
      <c r="E254" s="502">
        <v>9015773</v>
      </c>
      <c r="F254" s="503"/>
    </row>
    <row r="255" spans="1:6" ht="20.25" customHeight="1" hidden="1">
      <c r="A255" s="480" t="s">
        <v>1256</v>
      </c>
      <c r="B255" s="569"/>
      <c r="C255" s="502"/>
      <c r="D255" s="502"/>
      <c r="E255" s="502"/>
      <c r="F255" s="503"/>
    </row>
    <row r="256" spans="1:6" ht="35.25" customHeight="1">
      <c r="A256" s="480" t="s">
        <v>1256</v>
      </c>
      <c r="B256" s="534" t="s">
        <v>1271</v>
      </c>
      <c r="C256" s="502">
        <v>217901</v>
      </c>
      <c r="D256" s="502">
        <v>217901</v>
      </c>
      <c r="E256" s="502">
        <v>217901</v>
      </c>
      <c r="F256" s="503"/>
    </row>
    <row r="257" spans="1:6" ht="24" customHeight="1">
      <c r="A257" s="480" t="s">
        <v>1256</v>
      </c>
      <c r="B257" s="534" t="s">
        <v>1272</v>
      </c>
      <c r="C257" s="502">
        <v>2436700</v>
      </c>
      <c r="D257" s="502">
        <v>2436700</v>
      </c>
      <c r="E257" s="502">
        <v>2436700</v>
      </c>
      <c r="F257" s="503"/>
    </row>
    <row r="258" spans="1:6" ht="1.5" customHeight="1" hidden="1">
      <c r="A258" s="480" t="s">
        <v>1256</v>
      </c>
      <c r="B258" s="534"/>
      <c r="C258" s="502">
        <v>0</v>
      </c>
      <c r="D258" s="502">
        <v>0</v>
      </c>
      <c r="E258" s="502">
        <v>0</v>
      </c>
      <c r="F258" s="503"/>
    </row>
    <row r="259" spans="1:6" ht="12.75" hidden="1">
      <c r="A259" s="480" t="s">
        <v>1256</v>
      </c>
      <c r="B259" s="524"/>
      <c r="C259" s="502"/>
      <c r="D259" s="502"/>
      <c r="E259" s="502"/>
      <c r="F259" s="503"/>
    </row>
    <row r="260" spans="1:6" ht="24" customHeight="1" hidden="1">
      <c r="A260" s="480" t="s">
        <v>1256</v>
      </c>
      <c r="B260" s="534"/>
      <c r="C260" s="502">
        <v>0</v>
      </c>
      <c r="D260" s="502">
        <v>0</v>
      </c>
      <c r="E260" s="502">
        <v>0</v>
      </c>
      <c r="F260" s="503"/>
    </row>
    <row r="261" spans="1:6" ht="24" customHeight="1">
      <c r="A261" s="480" t="s">
        <v>1256</v>
      </c>
      <c r="B261" s="534" t="s">
        <v>1273</v>
      </c>
      <c r="C261" s="502">
        <v>944546</v>
      </c>
      <c r="D261" s="502">
        <v>944546</v>
      </c>
      <c r="E261" s="502">
        <v>944546</v>
      </c>
      <c r="F261" s="503"/>
    </row>
    <row r="262" spans="1:6" ht="23.25" customHeight="1">
      <c r="A262" s="480" t="s">
        <v>1256</v>
      </c>
      <c r="B262" s="567" t="s">
        <v>1274</v>
      </c>
      <c r="C262" s="502">
        <v>34810</v>
      </c>
      <c r="D262" s="502">
        <v>34810</v>
      </c>
      <c r="E262" s="502">
        <v>34810</v>
      </c>
      <c r="F262" s="503"/>
    </row>
    <row r="263" spans="1:6" ht="24.75" customHeight="1">
      <c r="A263" s="480" t="s">
        <v>1256</v>
      </c>
      <c r="B263" s="534" t="s">
        <v>1275</v>
      </c>
      <c r="C263" s="502">
        <v>12561264</v>
      </c>
      <c r="D263" s="502">
        <v>10802687</v>
      </c>
      <c r="E263" s="502">
        <v>10049011</v>
      </c>
      <c r="F263" s="503"/>
    </row>
    <row r="264" spans="1:6" s="23" customFormat="1" ht="18.75" customHeight="1">
      <c r="A264" s="570" t="s">
        <v>1276</v>
      </c>
      <c r="B264" s="571" t="s">
        <v>835</v>
      </c>
      <c r="C264" s="488">
        <f>C267+C269+C265</f>
        <v>422800</v>
      </c>
      <c r="D264" s="488">
        <f>D267+D269+D265</f>
        <v>0</v>
      </c>
      <c r="E264" s="488">
        <f>E267+E269+E265</f>
        <v>0</v>
      </c>
      <c r="F264" s="489"/>
    </row>
    <row r="265" spans="1:6" s="23" customFormat="1" ht="24">
      <c r="A265" s="448" t="s">
        <v>1277</v>
      </c>
      <c r="B265" s="449" t="s">
        <v>1278</v>
      </c>
      <c r="C265" s="572">
        <f>C266</f>
        <v>422800</v>
      </c>
      <c r="D265" s="572">
        <f>D266</f>
        <v>0</v>
      </c>
      <c r="E265" s="572">
        <f>E266</f>
        <v>0</v>
      </c>
      <c r="F265" s="499"/>
    </row>
    <row r="266" spans="1:6" s="23" customFormat="1" ht="23.25" customHeight="1">
      <c r="A266" s="450" t="s">
        <v>1279</v>
      </c>
      <c r="B266" s="451" t="s">
        <v>1280</v>
      </c>
      <c r="C266" s="502">
        <f>410800+12000</f>
        <v>422800</v>
      </c>
      <c r="D266" s="502">
        <v>0</v>
      </c>
      <c r="E266" s="502">
        <v>0</v>
      </c>
      <c r="F266" s="503"/>
    </row>
    <row r="267" spans="1:6" ht="24" hidden="1">
      <c r="A267" s="573" t="s">
        <v>1281</v>
      </c>
      <c r="B267" s="574" t="s">
        <v>1282</v>
      </c>
      <c r="C267" s="488">
        <f>C268</f>
        <v>0</v>
      </c>
      <c r="D267" s="488"/>
      <c r="E267" s="488"/>
      <c r="F267" s="489"/>
    </row>
    <row r="268" spans="1:6" ht="24" hidden="1">
      <c r="A268" s="575" t="s">
        <v>1283</v>
      </c>
      <c r="B268" s="451" t="s">
        <v>1284</v>
      </c>
      <c r="C268" s="482"/>
      <c r="D268" s="482"/>
      <c r="E268" s="482"/>
      <c r="F268" s="483"/>
    </row>
    <row r="269" spans="1:6" s="429" customFormat="1" ht="15" hidden="1">
      <c r="A269" s="573" t="s">
        <v>1285</v>
      </c>
      <c r="B269" s="576" t="s">
        <v>1286</v>
      </c>
      <c r="C269" s="475">
        <f>C270</f>
        <v>0</v>
      </c>
      <c r="D269" s="475">
        <f>D270</f>
        <v>0</v>
      </c>
      <c r="E269" s="475">
        <f>E270</f>
        <v>0</v>
      </c>
      <c r="F269" s="489"/>
    </row>
    <row r="270" spans="1:6" ht="12.75" hidden="1">
      <c r="A270" s="575" t="s">
        <v>1287</v>
      </c>
      <c r="B270" s="577" t="s">
        <v>1288</v>
      </c>
      <c r="C270" s="482"/>
      <c r="D270" s="482"/>
      <c r="E270" s="482"/>
      <c r="F270" s="483"/>
    </row>
    <row r="271" spans="1:6" ht="12.75" hidden="1">
      <c r="A271" s="573" t="s">
        <v>1289</v>
      </c>
      <c r="B271" s="578" t="s">
        <v>1290</v>
      </c>
      <c r="C271" s="482">
        <f>C272</f>
        <v>0</v>
      </c>
      <c r="D271" s="482">
        <f>D272</f>
        <v>0</v>
      </c>
      <c r="E271" s="482">
        <f>E272</f>
        <v>0</v>
      </c>
      <c r="F271" s="483"/>
    </row>
    <row r="272" spans="1:6" ht="12.75" hidden="1">
      <c r="A272" s="573" t="s">
        <v>1291</v>
      </c>
      <c r="B272" s="578" t="s">
        <v>1292</v>
      </c>
      <c r="C272" s="482"/>
      <c r="D272" s="482"/>
      <c r="E272" s="482"/>
      <c r="F272" s="483"/>
    </row>
    <row r="273" spans="1:6" ht="19.5" customHeight="1">
      <c r="A273" s="579" t="s">
        <v>1293</v>
      </c>
      <c r="B273" s="490" t="s">
        <v>1294</v>
      </c>
      <c r="C273" s="364">
        <f>C274</f>
        <v>4500000</v>
      </c>
      <c r="D273" s="364">
        <f>D274</f>
        <v>4500000</v>
      </c>
      <c r="E273" s="364">
        <f>E274</f>
        <v>4500000</v>
      </c>
      <c r="F273" s="398"/>
    </row>
    <row r="274" spans="1:6" ht="17.25" customHeight="1">
      <c r="A274" s="579" t="s">
        <v>1295</v>
      </c>
      <c r="B274" s="580" t="s">
        <v>1296</v>
      </c>
      <c r="C274" s="475">
        <f>C276+C275</f>
        <v>4500000</v>
      </c>
      <c r="D274" s="475">
        <f>D276+D275</f>
        <v>4500000</v>
      </c>
      <c r="E274" s="475">
        <f>E276+E275</f>
        <v>4500000</v>
      </c>
      <c r="F274" s="476"/>
    </row>
    <row r="275" spans="1:6" ht="23.25" customHeight="1">
      <c r="A275" s="581" t="s">
        <v>1297</v>
      </c>
      <c r="B275" s="582" t="s">
        <v>1298</v>
      </c>
      <c r="C275" s="502">
        <v>3000000</v>
      </c>
      <c r="D275" s="502">
        <v>3000000</v>
      </c>
      <c r="E275" s="502">
        <v>3000000</v>
      </c>
      <c r="F275" s="583"/>
    </row>
    <row r="276" spans="1:6" s="23" customFormat="1" ht="18.75" customHeight="1">
      <c r="A276" s="581" t="s">
        <v>1299</v>
      </c>
      <c r="B276" s="569" t="s">
        <v>1296</v>
      </c>
      <c r="C276" s="482">
        <v>1500000</v>
      </c>
      <c r="D276" s="482">
        <v>1500000</v>
      </c>
      <c r="E276" s="482">
        <v>1500000</v>
      </c>
      <c r="F276" s="584"/>
    </row>
    <row r="277" spans="1:6" s="23" customFormat="1" ht="1.5" customHeight="1" hidden="1">
      <c r="A277" s="585" t="s">
        <v>1300</v>
      </c>
      <c r="B277" s="456" t="s">
        <v>1301</v>
      </c>
      <c r="C277" s="498">
        <f>C278</f>
        <v>0</v>
      </c>
      <c r="D277" s="498"/>
      <c r="E277" s="498"/>
      <c r="F277" s="506"/>
    </row>
    <row r="278" spans="1:6" s="23" customFormat="1" ht="3.75" customHeight="1" hidden="1">
      <c r="A278" s="586" t="s">
        <v>1302</v>
      </c>
      <c r="B278" s="459" t="s">
        <v>1303</v>
      </c>
      <c r="C278" s="482">
        <f>C279</f>
        <v>0</v>
      </c>
      <c r="D278" s="482"/>
      <c r="E278" s="482"/>
      <c r="F278" s="483"/>
    </row>
    <row r="279" spans="1:6" s="23" customFormat="1" ht="24" hidden="1">
      <c r="A279" s="586" t="s">
        <v>1304</v>
      </c>
      <c r="B279" s="459" t="s">
        <v>1305</v>
      </c>
      <c r="C279" s="482"/>
      <c r="D279" s="482"/>
      <c r="E279" s="482"/>
      <c r="F279" s="483"/>
    </row>
    <row r="280" spans="1:6" s="23" customFormat="1" ht="24" hidden="1">
      <c r="A280" s="587" t="s">
        <v>1306</v>
      </c>
      <c r="B280" s="588" t="s">
        <v>1307</v>
      </c>
      <c r="C280" s="589">
        <f>C281</f>
        <v>0</v>
      </c>
      <c r="D280" s="590"/>
      <c r="E280" s="590"/>
      <c r="F280" s="591"/>
    </row>
    <row r="281" spans="1:6" s="23" customFormat="1" ht="25.5" hidden="1">
      <c r="A281" s="458" t="s">
        <v>1308</v>
      </c>
      <c r="B281" s="522" t="s">
        <v>1309</v>
      </c>
      <c r="C281" s="592"/>
      <c r="D281" s="592"/>
      <c r="E281" s="592"/>
      <c r="F281" s="593"/>
    </row>
    <row r="282" spans="1:6" s="23" customFormat="1" ht="36" hidden="1">
      <c r="A282" s="594" t="s">
        <v>1310</v>
      </c>
      <c r="B282" s="595" t="s">
        <v>1311</v>
      </c>
      <c r="C282" s="596"/>
      <c r="D282" s="592"/>
      <c r="E282" s="592"/>
      <c r="F282" s="593"/>
    </row>
    <row r="283" spans="1:6" s="23" customFormat="1" ht="34.5" customHeight="1" hidden="1">
      <c r="A283" s="458" t="s">
        <v>1312</v>
      </c>
      <c r="B283" s="522" t="s">
        <v>1313</v>
      </c>
      <c r="C283" s="592"/>
      <c r="D283" s="592"/>
      <c r="E283" s="592"/>
      <c r="F283" s="593"/>
    </row>
  </sheetData>
  <sheetProtection/>
  <mergeCells count="15">
    <mergeCell ref="A14:C14"/>
    <mergeCell ref="C16:E16"/>
    <mergeCell ref="A19:B19"/>
    <mergeCell ref="B7:E7"/>
    <mergeCell ref="B8:E8"/>
    <mergeCell ref="B9:E9"/>
    <mergeCell ref="A10:C10"/>
    <mergeCell ref="A12:E12"/>
    <mergeCell ref="A13:E13"/>
    <mergeCell ref="C1:E1"/>
    <mergeCell ref="C2:E2"/>
    <mergeCell ref="C3:E3"/>
    <mergeCell ref="C4:E4"/>
    <mergeCell ref="C5:E5"/>
    <mergeCell ref="C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0"/>
  <sheetViews>
    <sheetView zoomScalePageLayoutView="0" workbookViewId="0" topLeftCell="A60">
      <selection activeCell="M21" sqref="M21"/>
    </sheetView>
  </sheetViews>
  <sheetFormatPr defaultColWidth="9.00390625" defaultRowHeight="12.75"/>
  <cols>
    <col min="1" max="1" width="73.375" style="69" customWidth="1"/>
    <col min="2" max="2" width="5.25390625" style="166" customWidth="1"/>
    <col min="3" max="3" width="5.00390625" style="166" customWidth="1"/>
    <col min="4" max="4" width="17.125" style="166" customWidth="1"/>
    <col min="5" max="5" width="5.25390625" style="237" customWidth="1"/>
    <col min="6" max="8" width="17.00390625" style="238" bestFit="1" customWidth="1"/>
    <col min="9" max="9" width="11.375" style="68" customWidth="1"/>
    <col min="10" max="10" width="17.625" style="68" customWidth="1"/>
    <col min="11" max="11" width="17.75390625" style="68" customWidth="1"/>
    <col min="12" max="12" width="18.625" style="68" customWidth="1"/>
    <col min="13" max="13" width="19.625" style="68" customWidth="1"/>
    <col min="14" max="16384" width="9.125" style="68" customWidth="1"/>
  </cols>
  <sheetData>
    <row r="1" spans="1:8" ht="18.75" customHeight="1">
      <c r="A1" s="68"/>
      <c r="B1" s="160"/>
      <c r="C1" s="160"/>
      <c r="D1" s="160"/>
      <c r="E1" s="161" t="s">
        <v>166</v>
      </c>
      <c r="F1" s="162"/>
      <c r="G1" s="161"/>
      <c r="H1" s="162"/>
    </row>
    <row r="2" spans="2:8" ht="68.25" customHeight="1">
      <c r="B2" s="163"/>
      <c r="C2" s="163"/>
      <c r="D2" s="163"/>
      <c r="E2" s="295" t="s">
        <v>167</v>
      </c>
      <c r="F2" s="295"/>
      <c r="G2" s="295"/>
      <c r="H2" s="295"/>
    </row>
    <row r="3" spans="2:8" ht="38.25" customHeight="1" hidden="1">
      <c r="B3" s="164"/>
      <c r="C3" s="164"/>
      <c r="D3" s="164"/>
      <c r="E3" s="296" t="s">
        <v>168</v>
      </c>
      <c r="F3" s="296"/>
      <c r="G3" s="68"/>
      <c r="H3" s="68"/>
    </row>
    <row r="4" spans="2:8" ht="12.75" customHeight="1">
      <c r="B4" s="165"/>
      <c r="C4" s="165"/>
      <c r="D4" s="165"/>
      <c r="E4" s="165"/>
      <c r="F4" s="165"/>
      <c r="G4" s="68"/>
      <c r="H4" s="68"/>
    </row>
    <row r="5" spans="1:8" ht="72" customHeight="1">
      <c r="A5" s="297" t="s">
        <v>169</v>
      </c>
      <c r="B5" s="297"/>
      <c r="C5" s="297"/>
      <c r="D5" s="297"/>
      <c r="E5" s="297"/>
      <c r="F5" s="297"/>
      <c r="G5" s="297"/>
      <c r="H5" s="297"/>
    </row>
    <row r="6" spans="5:8" ht="18.75" customHeight="1">
      <c r="E6" s="167"/>
      <c r="F6" s="168"/>
      <c r="G6" s="168"/>
      <c r="H6" s="168"/>
    </row>
    <row r="7" spans="1:13" ht="37.5" customHeight="1">
      <c r="A7" s="169" t="s">
        <v>170</v>
      </c>
      <c r="B7" s="170" t="s">
        <v>171</v>
      </c>
      <c r="C7" s="170" t="s">
        <v>172</v>
      </c>
      <c r="D7" s="171" t="s">
        <v>173</v>
      </c>
      <c r="E7" s="171" t="s">
        <v>174</v>
      </c>
      <c r="F7" s="172" t="s">
        <v>175</v>
      </c>
      <c r="G7" s="173" t="s">
        <v>176</v>
      </c>
      <c r="H7" s="172" t="s">
        <v>177</v>
      </c>
      <c r="J7" s="174"/>
      <c r="K7" s="174"/>
      <c r="L7" s="174"/>
      <c r="M7" s="175"/>
    </row>
    <row r="8" spans="1:12" s="179" customFormat="1" ht="12.75" customHeight="1">
      <c r="A8" s="176">
        <v>1</v>
      </c>
      <c r="B8" s="176" t="s">
        <v>178</v>
      </c>
      <c r="C8" s="176" t="s">
        <v>179</v>
      </c>
      <c r="D8" s="177" t="s">
        <v>180</v>
      </c>
      <c r="E8" s="177" t="s">
        <v>181</v>
      </c>
      <c r="F8" s="178">
        <v>6</v>
      </c>
      <c r="G8" s="178">
        <v>7</v>
      </c>
      <c r="H8" s="178">
        <v>8</v>
      </c>
      <c r="J8" s="180"/>
      <c r="K8" s="180"/>
      <c r="L8" s="180"/>
    </row>
    <row r="9" spans="1:13" s="185" customFormat="1" ht="20.25">
      <c r="A9" s="181" t="s">
        <v>182</v>
      </c>
      <c r="B9" s="182"/>
      <c r="C9" s="182"/>
      <c r="D9" s="182"/>
      <c r="E9" s="183"/>
      <c r="F9" s="184">
        <f>F11+F170+F187+F257+F298+F443+F489+F497+F549+F571+F578+F10+F291</f>
        <v>785378849</v>
      </c>
      <c r="G9" s="184">
        <f>G11+G170+G187+G257+G298+G443+G489+G497+G549+G571+G578+G10+G291</f>
        <v>817815799</v>
      </c>
      <c r="H9" s="184">
        <f>H11+H170+H187+H257+H298+H443+H489+H497+H549+H571+H578+H10+H291</f>
        <v>850392330</v>
      </c>
      <c r="J9" s="186"/>
      <c r="K9" s="186"/>
      <c r="L9" s="186"/>
      <c r="M9" s="174"/>
    </row>
    <row r="10" spans="1:8" s="185" customFormat="1" ht="20.25">
      <c r="A10" s="181" t="s">
        <v>183</v>
      </c>
      <c r="B10" s="182"/>
      <c r="C10" s="182"/>
      <c r="D10" s="182"/>
      <c r="E10" s="183"/>
      <c r="F10" s="184">
        <v>0</v>
      </c>
      <c r="G10" s="184">
        <v>5500000</v>
      </c>
      <c r="H10" s="184">
        <v>10900000</v>
      </c>
    </row>
    <row r="11" spans="1:8" ht="15">
      <c r="A11" s="187" t="s">
        <v>184</v>
      </c>
      <c r="B11" s="182" t="s">
        <v>185</v>
      </c>
      <c r="C11" s="182"/>
      <c r="D11" s="182"/>
      <c r="E11" s="183"/>
      <c r="F11" s="184">
        <f>F12+F17+F26+F78+F83+F68+F63+F73</f>
        <v>52984682</v>
      </c>
      <c r="G11" s="184">
        <f>G12+G17+G26+G78+G83+G68+G63+G73</f>
        <v>39019802</v>
      </c>
      <c r="H11" s="184">
        <f>H12+H17+H26+H78+H83+H68+H63+H73</f>
        <v>42472458</v>
      </c>
    </row>
    <row r="12" spans="1:8" ht="28.5" customHeight="1">
      <c r="A12" s="188" t="s">
        <v>186</v>
      </c>
      <c r="B12" s="182" t="s">
        <v>185</v>
      </c>
      <c r="C12" s="182" t="s">
        <v>187</v>
      </c>
      <c r="D12" s="182"/>
      <c r="E12" s="183"/>
      <c r="F12" s="184">
        <f>F14</f>
        <v>1281500</v>
      </c>
      <c r="G12" s="184">
        <f>G14</f>
        <v>1060523</v>
      </c>
      <c r="H12" s="184">
        <f>H14</f>
        <v>1081782</v>
      </c>
    </row>
    <row r="13" spans="1:8" ht="15" customHeight="1">
      <c r="A13" s="189" t="s">
        <v>188</v>
      </c>
      <c r="B13" s="182" t="s">
        <v>185</v>
      </c>
      <c r="C13" s="182" t="s">
        <v>187</v>
      </c>
      <c r="D13" s="190" t="s">
        <v>189</v>
      </c>
      <c r="E13" s="183"/>
      <c r="F13" s="184">
        <f>F14</f>
        <v>1281500</v>
      </c>
      <c r="G13" s="184">
        <f>G14</f>
        <v>1060523</v>
      </c>
      <c r="H13" s="184">
        <f>H14</f>
        <v>1081782</v>
      </c>
    </row>
    <row r="14" spans="1:8" ht="17.25" customHeight="1">
      <c r="A14" s="187" t="s">
        <v>190</v>
      </c>
      <c r="B14" s="182" t="s">
        <v>185</v>
      </c>
      <c r="C14" s="182" t="s">
        <v>187</v>
      </c>
      <c r="D14" s="190" t="s">
        <v>191</v>
      </c>
      <c r="E14" s="183"/>
      <c r="F14" s="184">
        <f>F16</f>
        <v>1281500</v>
      </c>
      <c r="G14" s="184">
        <f>G16</f>
        <v>1060523</v>
      </c>
      <c r="H14" s="184">
        <f>H16</f>
        <v>1081782</v>
      </c>
    </row>
    <row r="15" spans="1:8" ht="18" customHeight="1">
      <c r="A15" s="191" t="s">
        <v>192</v>
      </c>
      <c r="B15" s="182" t="s">
        <v>185</v>
      </c>
      <c r="C15" s="182" t="s">
        <v>187</v>
      </c>
      <c r="D15" s="190" t="s">
        <v>193</v>
      </c>
      <c r="E15" s="183"/>
      <c r="F15" s="184">
        <f>F16</f>
        <v>1281500</v>
      </c>
      <c r="G15" s="184">
        <f>G16</f>
        <v>1060523</v>
      </c>
      <c r="H15" s="184">
        <f>H16</f>
        <v>1081782</v>
      </c>
    </row>
    <row r="16" spans="1:9" ht="48" customHeight="1">
      <c r="A16" s="192" t="s">
        <v>194</v>
      </c>
      <c r="B16" s="182" t="s">
        <v>185</v>
      </c>
      <c r="C16" s="182" t="s">
        <v>187</v>
      </c>
      <c r="D16" s="190" t="s">
        <v>193</v>
      </c>
      <c r="E16" s="193" t="s">
        <v>195</v>
      </c>
      <c r="F16" s="184">
        <v>1281500</v>
      </c>
      <c r="G16" s="184">
        <v>1060523</v>
      </c>
      <c r="H16" s="184">
        <v>1081782</v>
      </c>
      <c r="I16" s="194"/>
    </row>
    <row r="17" spans="1:8" ht="28.5" customHeight="1">
      <c r="A17" s="188" t="s">
        <v>196</v>
      </c>
      <c r="B17" s="182" t="s">
        <v>185</v>
      </c>
      <c r="C17" s="182" t="s">
        <v>197</v>
      </c>
      <c r="D17" s="182"/>
      <c r="E17" s="183"/>
      <c r="F17" s="184">
        <f>F18</f>
        <v>1390300</v>
      </c>
      <c r="G17" s="184">
        <f>G18</f>
        <v>1150561</v>
      </c>
      <c r="H17" s="184">
        <f>H18</f>
        <v>1173626</v>
      </c>
    </row>
    <row r="18" spans="1:8" ht="30.75" customHeight="1">
      <c r="A18" s="189" t="s">
        <v>198</v>
      </c>
      <c r="B18" s="182" t="s">
        <v>185</v>
      </c>
      <c r="C18" s="182" t="s">
        <v>197</v>
      </c>
      <c r="D18" s="190" t="s">
        <v>199</v>
      </c>
      <c r="E18" s="183"/>
      <c r="F18" s="184">
        <f>F19+F22</f>
        <v>1390300</v>
      </c>
      <c r="G18" s="184">
        <f>G19+G22</f>
        <v>1150561</v>
      </c>
      <c r="H18" s="184">
        <f>H19+H22</f>
        <v>1173626</v>
      </c>
    </row>
    <row r="19" spans="1:8" ht="18.75" customHeight="1">
      <c r="A19" s="187" t="s">
        <v>200</v>
      </c>
      <c r="B19" s="182" t="s">
        <v>185</v>
      </c>
      <c r="C19" s="182" t="s">
        <v>197</v>
      </c>
      <c r="D19" s="190" t="s">
        <v>201</v>
      </c>
      <c r="E19" s="183"/>
      <c r="F19" s="184">
        <f aca="true" t="shared" si="0" ref="F19:H20">F20</f>
        <v>722300</v>
      </c>
      <c r="G19" s="184">
        <f t="shared" si="0"/>
        <v>597749</v>
      </c>
      <c r="H19" s="184">
        <f t="shared" si="0"/>
        <v>609732</v>
      </c>
    </row>
    <row r="20" spans="1:8" ht="15">
      <c r="A20" s="188" t="s">
        <v>192</v>
      </c>
      <c r="B20" s="182" t="s">
        <v>185</v>
      </c>
      <c r="C20" s="182" t="s">
        <v>197</v>
      </c>
      <c r="D20" s="190" t="s">
        <v>202</v>
      </c>
      <c r="E20" s="193"/>
      <c r="F20" s="184">
        <f t="shared" si="0"/>
        <v>722300</v>
      </c>
      <c r="G20" s="184">
        <f t="shared" si="0"/>
        <v>597749</v>
      </c>
      <c r="H20" s="184">
        <f t="shared" si="0"/>
        <v>609732</v>
      </c>
    </row>
    <row r="21" spans="1:8" ht="40.5" customHeight="1">
      <c r="A21" s="189" t="s">
        <v>194</v>
      </c>
      <c r="B21" s="182" t="s">
        <v>185</v>
      </c>
      <c r="C21" s="182" t="s">
        <v>197</v>
      </c>
      <c r="D21" s="190" t="s">
        <v>202</v>
      </c>
      <c r="E21" s="193" t="s">
        <v>195</v>
      </c>
      <c r="F21" s="184">
        <f>722300</f>
        <v>722300</v>
      </c>
      <c r="G21" s="184">
        <v>597749</v>
      </c>
      <c r="H21" s="184">
        <v>609732</v>
      </c>
    </row>
    <row r="22" spans="1:8" ht="18" customHeight="1">
      <c r="A22" s="187" t="s">
        <v>203</v>
      </c>
      <c r="B22" s="182" t="s">
        <v>185</v>
      </c>
      <c r="C22" s="182" t="s">
        <v>197</v>
      </c>
      <c r="D22" s="190" t="s">
        <v>204</v>
      </c>
      <c r="E22" s="193"/>
      <c r="F22" s="184">
        <f>F23</f>
        <v>668000</v>
      </c>
      <c r="G22" s="184">
        <f>G23</f>
        <v>552812</v>
      </c>
      <c r="H22" s="184">
        <f>H23</f>
        <v>563894</v>
      </c>
    </row>
    <row r="23" spans="1:8" ht="27.75" customHeight="1">
      <c r="A23" s="188" t="s">
        <v>192</v>
      </c>
      <c r="B23" s="182" t="s">
        <v>185</v>
      </c>
      <c r="C23" s="182" t="s">
        <v>197</v>
      </c>
      <c r="D23" s="190" t="s">
        <v>205</v>
      </c>
      <c r="E23" s="193"/>
      <c r="F23" s="184">
        <f>F24+F25</f>
        <v>668000</v>
      </c>
      <c r="G23" s="184">
        <f>G24+G25</f>
        <v>552812</v>
      </c>
      <c r="H23" s="184">
        <f>H24+H25</f>
        <v>563894</v>
      </c>
    </row>
    <row r="24" spans="1:8" ht="42.75" customHeight="1">
      <c r="A24" s="189" t="s">
        <v>194</v>
      </c>
      <c r="B24" s="182" t="s">
        <v>185</v>
      </c>
      <c r="C24" s="182" t="s">
        <v>197</v>
      </c>
      <c r="D24" s="190" t="s">
        <v>205</v>
      </c>
      <c r="E24" s="193" t="s">
        <v>195</v>
      </c>
      <c r="F24" s="184">
        <f>668000</f>
        <v>668000</v>
      </c>
      <c r="G24" s="184">
        <v>552812</v>
      </c>
      <c r="H24" s="184">
        <v>563894</v>
      </c>
    </row>
    <row r="25" spans="1:8" ht="19.5" customHeight="1" hidden="1">
      <c r="A25" s="192" t="s">
        <v>206</v>
      </c>
      <c r="B25" s="182" t="s">
        <v>185</v>
      </c>
      <c r="C25" s="182" t="s">
        <v>197</v>
      </c>
      <c r="D25" s="190" t="s">
        <v>205</v>
      </c>
      <c r="E25" s="193" t="s">
        <v>207</v>
      </c>
      <c r="F25" s="184"/>
      <c r="G25" s="184"/>
      <c r="H25" s="184"/>
    </row>
    <row r="26" spans="1:8" ht="42.75" customHeight="1">
      <c r="A26" s="188" t="s">
        <v>208</v>
      </c>
      <c r="B26" s="182" t="s">
        <v>209</v>
      </c>
      <c r="C26" s="182" t="s">
        <v>210</v>
      </c>
      <c r="D26" s="182"/>
      <c r="E26" s="183"/>
      <c r="F26" s="184">
        <f>F27+F38+F55+F47+F32</f>
        <v>17378253</v>
      </c>
      <c r="G26" s="184">
        <f>G27+G38+G55+G47+G32</f>
        <v>14527240</v>
      </c>
      <c r="H26" s="184">
        <f>H27+H38+H55+H47+H32</f>
        <v>15005240</v>
      </c>
    </row>
    <row r="27" spans="1:8" ht="30" customHeight="1">
      <c r="A27" s="187" t="s">
        <v>211</v>
      </c>
      <c r="B27" s="182" t="s">
        <v>209</v>
      </c>
      <c r="C27" s="182" t="s">
        <v>210</v>
      </c>
      <c r="D27" s="190" t="s">
        <v>212</v>
      </c>
      <c r="E27" s="193"/>
      <c r="F27" s="184">
        <f aca="true" t="shared" si="1" ref="F27:H30">F28</f>
        <v>173935</v>
      </c>
      <c r="G27" s="184">
        <f t="shared" si="1"/>
        <v>43484</v>
      </c>
      <c r="H27" s="184">
        <f t="shared" si="1"/>
        <v>260902</v>
      </c>
    </row>
    <row r="28" spans="1:8" ht="42" customHeight="1">
      <c r="A28" s="192" t="s">
        <v>213</v>
      </c>
      <c r="B28" s="182" t="s">
        <v>185</v>
      </c>
      <c r="C28" s="182" t="s">
        <v>210</v>
      </c>
      <c r="D28" s="190" t="s">
        <v>214</v>
      </c>
      <c r="E28" s="193"/>
      <c r="F28" s="184">
        <f t="shared" si="1"/>
        <v>173935</v>
      </c>
      <c r="G28" s="184">
        <f t="shared" si="1"/>
        <v>43484</v>
      </c>
      <c r="H28" s="184">
        <f t="shared" si="1"/>
        <v>260902</v>
      </c>
    </row>
    <row r="29" spans="1:8" ht="35.25" customHeight="1">
      <c r="A29" s="195" t="s">
        <v>215</v>
      </c>
      <c r="B29" s="182" t="s">
        <v>185</v>
      </c>
      <c r="C29" s="182" t="s">
        <v>210</v>
      </c>
      <c r="D29" s="190" t="s">
        <v>216</v>
      </c>
      <c r="E29" s="193"/>
      <c r="F29" s="184">
        <f t="shared" si="1"/>
        <v>173935</v>
      </c>
      <c r="G29" s="184">
        <f t="shared" si="1"/>
        <v>43484</v>
      </c>
      <c r="H29" s="184">
        <f t="shared" si="1"/>
        <v>260902</v>
      </c>
    </row>
    <row r="30" spans="1:8" ht="45" customHeight="1">
      <c r="A30" s="196" t="s">
        <v>217</v>
      </c>
      <c r="B30" s="182" t="s">
        <v>185</v>
      </c>
      <c r="C30" s="182" t="s">
        <v>210</v>
      </c>
      <c r="D30" s="182" t="s">
        <v>218</v>
      </c>
      <c r="E30" s="193"/>
      <c r="F30" s="184">
        <f t="shared" si="1"/>
        <v>173935</v>
      </c>
      <c r="G30" s="184">
        <f t="shared" si="1"/>
        <v>43484</v>
      </c>
      <c r="H30" s="184">
        <f t="shared" si="1"/>
        <v>260902</v>
      </c>
    </row>
    <row r="31" spans="1:8" ht="42.75" customHeight="1">
      <c r="A31" s="192" t="s">
        <v>194</v>
      </c>
      <c r="B31" s="182" t="s">
        <v>185</v>
      </c>
      <c r="C31" s="182" t="s">
        <v>210</v>
      </c>
      <c r="D31" s="182" t="s">
        <v>218</v>
      </c>
      <c r="E31" s="193" t="s">
        <v>195</v>
      </c>
      <c r="F31" s="184">
        <v>173935</v>
      </c>
      <c r="G31" s="184">
        <v>43484</v>
      </c>
      <c r="H31" s="184">
        <v>260902</v>
      </c>
    </row>
    <row r="32" spans="1:8" ht="30" customHeight="1">
      <c r="A32" s="197" t="s">
        <v>219</v>
      </c>
      <c r="B32" s="182" t="s">
        <v>185</v>
      </c>
      <c r="C32" s="182" t="s">
        <v>210</v>
      </c>
      <c r="D32" s="190" t="s">
        <v>220</v>
      </c>
      <c r="E32" s="183"/>
      <c r="F32" s="184">
        <f>F33</f>
        <v>369408</v>
      </c>
      <c r="G32" s="184">
        <f>G33</f>
        <v>369408</v>
      </c>
      <c r="H32" s="184">
        <f>H33</f>
        <v>369408</v>
      </c>
    </row>
    <row r="33" spans="1:8" s="198" customFormat="1" ht="57" customHeight="1">
      <c r="A33" s="197" t="s">
        <v>221</v>
      </c>
      <c r="B33" s="182" t="s">
        <v>185</v>
      </c>
      <c r="C33" s="182" t="s">
        <v>210</v>
      </c>
      <c r="D33" s="190" t="s">
        <v>222</v>
      </c>
      <c r="E33" s="183"/>
      <c r="F33" s="184">
        <f>F35</f>
        <v>369408</v>
      </c>
      <c r="G33" s="184">
        <f>G35</f>
        <v>369408</v>
      </c>
      <c r="H33" s="184">
        <f>H35</f>
        <v>369408</v>
      </c>
    </row>
    <row r="34" spans="1:8" ht="30.75" customHeight="1">
      <c r="A34" s="199" t="s">
        <v>223</v>
      </c>
      <c r="B34" s="182" t="s">
        <v>185</v>
      </c>
      <c r="C34" s="182" t="s">
        <v>210</v>
      </c>
      <c r="D34" s="190" t="s">
        <v>224</v>
      </c>
      <c r="E34" s="183"/>
      <c r="F34" s="184">
        <f>F35</f>
        <v>369408</v>
      </c>
      <c r="G34" s="184">
        <f>G35</f>
        <v>369408</v>
      </c>
      <c r="H34" s="184">
        <f>H35</f>
        <v>369408</v>
      </c>
    </row>
    <row r="35" spans="1:8" ht="20.25" customHeight="1">
      <c r="A35" s="200" t="s">
        <v>225</v>
      </c>
      <c r="B35" s="182" t="s">
        <v>185</v>
      </c>
      <c r="C35" s="182" t="s">
        <v>210</v>
      </c>
      <c r="D35" s="190" t="s">
        <v>226</v>
      </c>
      <c r="E35" s="183"/>
      <c r="F35" s="184">
        <f>F36+F37</f>
        <v>369408</v>
      </c>
      <c r="G35" s="184">
        <f>G36+G37</f>
        <v>369408</v>
      </c>
      <c r="H35" s="184">
        <f>H36+H37</f>
        <v>369408</v>
      </c>
    </row>
    <row r="36" spans="1:8" ht="38.25">
      <c r="A36" s="192" t="s">
        <v>194</v>
      </c>
      <c r="B36" s="182" t="s">
        <v>185</v>
      </c>
      <c r="C36" s="182" t="s">
        <v>210</v>
      </c>
      <c r="D36" s="190" t="s">
        <v>226</v>
      </c>
      <c r="E36" s="193" t="s">
        <v>195</v>
      </c>
      <c r="F36" s="184">
        <v>352717</v>
      </c>
      <c r="G36" s="184">
        <v>352717</v>
      </c>
      <c r="H36" s="184">
        <v>352717</v>
      </c>
    </row>
    <row r="37" spans="1:8" ht="18" customHeight="1">
      <c r="A37" s="192" t="s">
        <v>206</v>
      </c>
      <c r="B37" s="182" t="s">
        <v>185</v>
      </c>
      <c r="C37" s="182" t="s">
        <v>210</v>
      </c>
      <c r="D37" s="190" t="s">
        <v>226</v>
      </c>
      <c r="E37" s="193" t="s">
        <v>207</v>
      </c>
      <c r="F37" s="184">
        <v>16691</v>
      </c>
      <c r="G37" s="184">
        <v>16691</v>
      </c>
      <c r="H37" s="184">
        <v>16691</v>
      </c>
    </row>
    <row r="38" spans="1:8" ht="43.5" customHeight="1">
      <c r="A38" s="199" t="s">
        <v>227</v>
      </c>
      <c r="B38" s="182" t="s">
        <v>185</v>
      </c>
      <c r="C38" s="182" t="s">
        <v>210</v>
      </c>
      <c r="D38" s="190" t="s">
        <v>228</v>
      </c>
      <c r="E38" s="193"/>
      <c r="F38" s="184">
        <f>F39</f>
        <v>696200</v>
      </c>
      <c r="G38" s="184">
        <f>G39</f>
        <v>696200</v>
      </c>
      <c r="H38" s="184">
        <f>H39</f>
        <v>696200</v>
      </c>
    </row>
    <row r="39" spans="1:8" s="198" customFormat="1" ht="58.5" customHeight="1">
      <c r="A39" s="199" t="s">
        <v>229</v>
      </c>
      <c r="B39" s="182" t="s">
        <v>185</v>
      </c>
      <c r="C39" s="182" t="s">
        <v>210</v>
      </c>
      <c r="D39" s="190" t="s">
        <v>230</v>
      </c>
      <c r="E39" s="193"/>
      <c r="F39" s="184">
        <f>F41+F44</f>
        <v>696200</v>
      </c>
      <c r="G39" s="184">
        <f>G41+G44</f>
        <v>696200</v>
      </c>
      <c r="H39" s="184">
        <f>H41+H44</f>
        <v>696200</v>
      </c>
    </row>
    <row r="40" spans="1:8" ht="42" customHeight="1">
      <c r="A40" s="197" t="s">
        <v>231</v>
      </c>
      <c r="B40" s="182" t="s">
        <v>185</v>
      </c>
      <c r="C40" s="182" t="s">
        <v>210</v>
      </c>
      <c r="D40" s="190" t="s">
        <v>232</v>
      </c>
      <c r="E40" s="193"/>
      <c r="F40" s="184">
        <f>F41+F44</f>
        <v>696200</v>
      </c>
      <c r="G40" s="184">
        <f>G41+G44</f>
        <v>696200</v>
      </c>
      <c r="H40" s="184">
        <f>H41+H44</f>
        <v>696200</v>
      </c>
    </row>
    <row r="41" spans="1:8" ht="29.25" customHeight="1">
      <c r="A41" s="200" t="s">
        <v>233</v>
      </c>
      <c r="B41" s="182" t="s">
        <v>185</v>
      </c>
      <c r="C41" s="182" t="s">
        <v>210</v>
      </c>
      <c r="D41" s="182" t="s">
        <v>234</v>
      </c>
      <c r="E41" s="183"/>
      <c r="F41" s="184">
        <f>F42+F43</f>
        <v>348100</v>
      </c>
      <c r="G41" s="184">
        <f>G42+G43</f>
        <v>348100</v>
      </c>
      <c r="H41" s="184">
        <f>H42+H43</f>
        <v>348100</v>
      </c>
    </row>
    <row r="42" spans="1:8" ht="44.25" customHeight="1">
      <c r="A42" s="192" t="s">
        <v>194</v>
      </c>
      <c r="B42" s="182" t="s">
        <v>185</v>
      </c>
      <c r="C42" s="182" t="s">
        <v>210</v>
      </c>
      <c r="D42" s="182" t="s">
        <v>234</v>
      </c>
      <c r="E42" s="193" t="s">
        <v>195</v>
      </c>
      <c r="F42" s="184">
        <v>346296</v>
      </c>
      <c r="G42" s="184">
        <v>346296</v>
      </c>
      <c r="H42" s="184">
        <v>346296</v>
      </c>
    </row>
    <row r="43" spans="1:8" ht="25.5">
      <c r="A43" s="192" t="s">
        <v>206</v>
      </c>
      <c r="B43" s="182" t="s">
        <v>185</v>
      </c>
      <c r="C43" s="182" t="s">
        <v>210</v>
      </c>
      <c r="D43" s="182" t="s">
        <v>234</v>
      </c>
      <c r="E43" s="193" t="s">
        <v>207</v>
      </c>
      <c r="F43" s="184">
        <v>1804</v>
      </c>
      <c r="G43" s="184">
        <v>1804</v>
      </c>
      <c r="H43" s="184">
        <v>1804</v>
      </c>
    </row>
    <row r="44" spans="1:8" ht="31.5" customHeight="1">
      <c r="A44" s="200" t="s">
        <v>235</v>
      </c>
      <c r="B44" s="182" t="s">
        <v>185</v>
      </c>
      <c r="C44" s="182" t="s">
        <v>210</v>
      </c>
      <c r="D44" s="182" t="s">
        <v>236</v>
      </c>
      <c r="E44" s="183"/>
      <c r="F44" s="184">
        <f>F45+F46</f>
        <v>348100</v>
      </c>
      <c r="G44" s="184">
        <f>G45+G46</f>
        <v>348100</v>
      </c>
      <c r="H44" s="184">
        <f>H45+H46</f>
        <v>348100</v>
      </c>
    </row>
    <row r="45" spans="1:8" ht="42.75" customHeight="1">
      <c r="A45" s="192" t="s">
        <v>194</v>
      </c>
      <c r="B45" s="182" t="s">
        <v>185</v>
      </c>
      <c r="C45" s="182" t="s">
        <v>210</v>
      </c>
      <c r="D45" s="182" t="s">
        <v>236</v>
      </c>
      <c r="E45" s="193" t="s">
        <v>195</v>
      </c>
      <c r="F45" s="184">
        <v>348100</v>
      </c>
      <c r="G45" s="184">
        <v>348100</v>
      </c>
      <c r="H45" s="184">
        <v>348100</v>
      </c>
    </row>
    <row r="46" spans="1:8" ht="19.5" customHeight="1" hidden="1">
      <c r="A46" s="192" t="s">
        <v>206</v>
      </c>
      <c r="B46" s="182" t="s">
        <v>185</v>
      </c>
      <c r="C46" s="182" t="s">
        <v>210</v>
      </c>
      <c r="D46" s="182" t="s">
        <v>236</v>
      </c>
      <c r="E46" s="193" t="s">
        <v>207</v>
      </c>
      <c r="F46" s="184"/>
      <c r="G46" s="184"/>
      <c r="H46" s="184"/>
    </row>
    <row r="47" spans="1:8" ht="18" customHeight="1">
      <c r="A47" s="192" t="s">
        <v>237</v>
      </c>
      <c r="B47" s="182" t="s">
        <v>185</v>
      </c>
      <c r="C47" s="182" t="s">
        <v>210</v>
      </c>
      <c r="D47" s="182" t="s">
        <v>238</v>
      </c>
      <c r="E47" s="183"/>
      <c r="F47" s="184">
        <f>F48</f>
        <v>15755800</v>
      </c>
      <c r="G47" s="184">
        <f>G48</f>
        <v>13035238</v>
      </c>
      <c r="H47" s="184">
        <f>H48</f>
        <v>13295820</v>
      </c>
    </row>
    <row r="48" spans="1:8" ht="21" customHeight="1">
      <c r="A48" s="191" t="s">
        <v>239</v>
      </c>
      <c r="B48" s="182" t="s">
        <v>185</v>
      </c>
      <c r="C48" s="182" t="s">
        <v>210</v>
      </c>
      <c r="D48" s="182" t="s">
        <v>240</v>
      </c>
      <c r="E48" s="183"/>
      <c r="F48" s="184">
        <f>F51+F49</f>
        <v>15755800</v>
      </c>
      <c r="G48" s="184">
        <f>G51+G49</f>
        <v>13035238</v>
      </c>
      <c r="H48" s="184">
        <f>H51+H49</f>
        <v>13295820</v>
      </c>
    </row>
    <row r="49" spans="1:8" ht="38.25">
      <c r="A49" s="191" t="s">
        <v>241</v>
      </c>
      <c r="B49" s="182" t="s">
        <v>185</v>
      </c>
      <c r="C49" s="182" t="s">
        <v>210</v>
      </c>
      <c r="D49" s="182" t="s">
        <v>242</v>
      </c>
      <c r="E49" s="183"/>
      <c r="F49" s="184">
        <f>F50</f>
        <v>12000</v>
      </c>
      <c r="G49" s="184">
        <f>G50</f>
        <v>0</v>
      </c>
      <c r="H49" s="184">
        <f>H50</f>
        <v>0</v>
      </c>
    </row>
    <row r="50" spans="1:8" ht="38.25">
      <c r="A50" s="192" t="s">
        <v>194</v>
      </c>
      <c r="B50" s="182" t="s">
        <v>185</v>
      </c>
      <c r="C50" s="182" t="s">
        <v>210</v>
      </c>
      <c r="D50" s="182" t="s">
        <v>242</v>
      </c>
      <c r="E50" s="183" t="s">
        <v>195</v>
      </c>
      <c r="F50" s="184">
        <v>12000</v>
      </c>
      <c r="G50" s="184">
        <v>0</v>
      </c>
      <c r="H50" s="184">
        <v>0</v>
      </c>
    </row>
    <row r="51" spans="1:8" ht="18.75" customHeight="1">
      <c r="A51" s="191" t="s">
        <v>192</v>
      </c>
      <c r="B51" s="182" t="s">
        <v>185</v>
      </c>
      <c r="C51" s="182" t="s">
        <v>210</v>
      </c>
      <c r="D51" s="182" t="s">
        <v>243</v>
      </c>
      <c r="E51" s="183"/>
      <c r="F51" s="184">
        <f>F52+F53+F54</f>
        <v>15743800</v>
      </c>
      <c r="G51" s="184">
        <f>G52+G53+G54</f>
        <v>13035238</v>
      </c>
      <c r="H51" s="184">
        <f>H52+H53+H54</f>
        <v>13295820</v>
      </c>
    </row>
    <row r="52" spans="1:8" ht="44.25" customHeight="1">
      <c r="A52" s="192" t="s">
        <v>194</v>
      </c>
      <c r="B52" s="182" t="s">
        <v>185</v>
      </c>
      <c r="C52" s="182" t="s">
        <v>210</v>
      </c>
      <c r="D52" s="182" t="s">
        <v>243</v>
      </c>
      <c r="E52" s="193" t="s">
        <v>195</v>
      </c>
      <c r="F52" s="184">
        <f>15707600</f>
        <v>15707600</v>
      </c>
      <c r="G52" s="184">
        <v>12999038</v>
      </c>
      <c r="H52" s="184">
        <v>13259620</v>
      </c>
    </row>
    <row r="53" spans="1:8" ht="24.75" customHeight="1">
      <c r="A53" s="192" t="s">
        <v>206</v>
      </c>
      <c r="B53" s="182" t="s">
        <v>185</v>
      </c>
      <c r="C53" s="182" t="s">
        <v>210</v>
      </c>
      <c r="D53" s="182" t="s">
        <v>243</v>
      </c>
      <c r="E53" s="193" t="s">
        <v>207</v>
      </c>
      <c r="F53" s="201">
        <f>36200</f>
        <v>36200</v>
      </c>
      <c r="G53" s="201">
        <f>36200</f>
        <v>36200</v>
      </c>
      <c r="H53" s="201">
        <f>36200</f>
        <v>36200</v>
      </c>
    </row>
    <row r="54" spans="1:8" ht="15" hidden="1">
      <c r="A54" s="199" t="s">
        <v>244</v>
      </c>
      <c r="B54" s="182" t="s">
        <v>185</v>
      </c>
      <c r="C54" s="182" t="s">
        <v>210</v>
      </c>
      <c r="D54" s="182" t="s">
        <v>243</v>
      </c>
      <c r="E54" s="193" t="s">
        <v>245</v>
      </c>
      <c r="F54" s="184"/>
      <c r="G54" s="184"/>
      <c r="H54" s="184"/>
    </row>
    <row r="55" spans="1:8" ht="15">
      <c r="A55" s="199" t="s">
        <v>246</v>
      </c>
      <c r="B55" s="182" t="s">
        <v>185</v>
      </c>
      <c r="C55" s="182" t="s">
        <v>210</v>
      </c>
      <c r="D55" s="182" t="s">
        <v>247</v>
      </c>
      <c r="E55" s="183"/>
      <c r="F55" s="184">
        <f>F56+F60</f>
        <v>382910</v>
      </c>
      <c r="G55" s="184">
        <f>G56+G60</f>
        <v>382910</v>
      </c>
      <c r="H55" s="184">
        <f>H56+H60</f>
        <v>382910</v>
      </c>
    </row>
    <row r="56" spans="1:8" ht="21.75" customHeight="1">
      <c r="A56" s="197" t="s">
        <v>248</v>
      </c>
      <c r="B56" s="182" t="s">
        <v>185</v>
      </c>
      <c r="C56" s="182" t="s">
        <v>210</v>
      </c>
      <c r="D56" s="182" t="s">
        <v>249</v>
      </c>
      <c r="E56" s="183"/>
      <c r="F56" s="184">
        <f>F57</f>
        <v>348100</v>
      </c>
      <c r="G56" s="184">
        <f>G57</f>
        <v>348100</v>
      </c>
      <c r="H56" s="184">
        <f>H57</f>
        <v>348100</v>
      </c>
    </row>
    <row r="57" spans="1:8" ht="20.25" customHeight="1">
      <c r="A57" s="191" t="s">
        <v>250</v>
      </c>
      <c r="B57" s="182" t="s">
        <v>185</v>
      </c>
      <c r="C57" s="182" t="s">
        <v>210</v>
      </c>
      <c r="D57" s="182" t="s">
        <v>251</v>
      </c>
      <c r="E57" s="183"/>
      <c r="F57" s="184">
        <f>F58+F59</f>
        <v>348100</v>
      </c>
      <c r="G57" s="184">
        <f>G58+G59</f>
        <v>348100</v>
      </c>
      <c r="H57" s="184">
        <f>H58+H59</f>
        <v>348100</v>
      </c>
    </row>
    <row r="58" spans="1:8" ht="38.25">
      <c r="A58" s="192" t="s">
        <v>194</v>
      </c>
      <c r="B58" s="182" t="s">
        <v>185</v>
      </c>
      <c r="C58" s="182" t="s">
        <v>210</v>
      </c>
      <c r="D58" s="182" t="s">
        <v>251</v>
      </c>
      <c r="E58" s="193" t="s">
        <v>195</v>
      </c>
      <c r="F58" s="184">
        <v>348100</v>
      </c>
      <c r="G58" s="184">
        <v>348100</v>
      </c>
      <c r="H58" s="184">
        <v>348100</v>
      </c>
    </row>
    <row r="59" spans="1:8" ht="15" hidden="1">
      <c r="A59" s="192" t="s">
        <v>252</v>
      </c>
      <c r="B59" s="182" t="s">
        <v>185</v>
      </c>
      <c r="C59" s="182" t="s">
        <v>210</v>
      </c>
      <c r="D59" s="182" t="s">
        <v>251</v>
      </c>
      <c r="E59" s="193" t="s">
        <v>207</v>
      </c>
      <c r="F59" s="184">
        <f>20967-20967</f>
        <v>0</v>
      </c>
      <c r="G59" s="184">
        <f>20967-20967</f>
        <v>0</v>
      </c>
      <c r="H59" s="184">
        <f>20967-20967</f>
        <v>0</v>
      </c>
    </row>
    <row r="60" spans="1:8" ht="15">
      <c r="A60" s="199" t="s">
        <v>253</v>
      </c>
      <c r="B60" s="182" t="s">
        <v>185</v>
      </c>
      <c r="C60" s="182" t="s">
        <v>210</v>
      </c>
      <c r="D60" s="182" t="s">
        <v>254</v>
      </c>
      <c r="E60" s="183"/>
      <c r="F60" s="184">
        <f aca="true" t="shared" si="2" ref="F60:H61">F61</f>
        <v>34810</v>
      </c>
      <c r="G60" s="184">
        <f t="shared" si="2"/>
        <v>34810</v>
      </c>
      <c r="H60" s="184">
        <f t="shared" si="2"/>
        <v>34810</v>
      </c>
    </row>
    <row r="61" spans="1:8" ht="38.25">
      <c r="A61" s="202" t="s">
        <v>255</v>
      </c>
      <c r="B61" s="182" t="s">
        <v>185</v>
      </c>
      <c r="C61" s="182" t="s">
        <v>210</v>
      </c>
      <c r="D61" s="182" t="s">
        <v>256</v>
      </c>
      <c r="E61" s="183"/>
      <c r="F61" s="184">
        <f t="shared" si="2"/>
        <v>34810</v>
      </c>
      <c r="G61" s="184">
        <f t="shared" si="2"/>
        <v>34810</v>
      </c>
      <c r="H61" s="184">
        <f t="shared" si="2"/>
        <v>34810</v>
      </c>
    </row>
    <row r="62" spans="1:8" ht="51.75" customHeight="1">
      <c r="A62" s="192" t="s">
        <v>194</v>
      </c>
      <c r="B62" s="182" t="s">
        <v>185</v>
      </c>
      <c r="C62" s="182" t="s">
        <v>210</v>
      </c>
      <c r="D62" s="182" t="s">
        <v>256</v>
      </c>
      <c r="E62" s="193" t="s">
        <v>195</v>
      </c>
      <c r="F62" s="184">
        <v>34810</v>
      </c>
      <c r="G62" s="184">
        <v>34810</v>
      </c>
      <c r="H62" s="184">
        <v>34810</v>
      </c>
    </row>
    <row r="63" spans="1:8" ht="15">
      <c r="A63" s="203" t="s">
        <v>257</v>
      </c>
      <c r="B63" s="182" t="s">
        <v>185</v>
      </c>
      <c r="C63" s="182" t="s">
        <v>258</v>
      </c>
      <c r="D63" s="182"/>
      <c r="E63" s="193"/>
      <c r="F63" s="184">
        <f aca="true" t="shared" si="3" ref="F63:H66">F64</f>
        <v>2737</v>
      </c>
      <c r="G63" s="184">
        <f t="shared" si="3"/>
        <v>0</v>
      </c>
      <c r="H63" s="184">
        <f t="shared" si="3"/>
        <v>0</v>
      </c>
    </row>
    <row r="64" spans="1:8" ht="15">
      <c r="A64" s="199" t="s">
        <v>246</v>
      </c>
      <c r="B64" s="182" t="s">
        <v>185</v>
      </c>
      <c r="C64" s="182" t="s">
        <v>258</v>
      </c>
      <c r="D64" s="182" t="s">
        <v>247</v>
      </c>
      <c r="E64" s="193"/>
      <c r="F64" s="184">
        <f t="shared" si="3"/>
        <v>2737</v>
      </c>
      <c r="G64" s="184">
        <f t="shared" si="3"/>
        <v>0</v>
      </c>
      <c r="H64" s="184">
        <f t="shared" si="3"/>
        <v>0</v>
      </c>
    </row>
    <row r="65" spans="1:8" ht="15">
      <c r="A65" s="199" t="s">
        <v>253</v>
      </c>
      <c r="B65" s="182" t="s">
        <v>185</v>
      </c>
      <c r="C65" s="182" t="s">
        <v>258</v>
      </c>
      <c r="D65" s="182" t="s">
        <v>254</v>
      </c>
      <c r="E65" s="193"/>
      <c r="F65" s="184">
        <f t="shared" si="3"/>
        <v>2737</v>
      </c>
      <c r="G65" s="184">
        <f t="shared" si="3"/>
        <v>0</v>
      </c>
      <c r="H65" s="184">
        <f t="shared" si="3"/>
        <v>0</v>
      </c>
    </row>
    <row r="66" spans="1:8" ht="38.25">
      <c r="A66" s="200" t="s">
        <v>259</v>
      </c>
      <c r="B66" s="182" t="s">
        <v>185</v>
      </c>
      <c r="C66" s="182" t="s">
        <v>258</v>
      </c>
      <c r="D66" s="182" t="s">
        <v>260</v>
      </c>
      <c r="E66" s="193"/>
      <c r="F66" s="184">
        <f t="shared" si="3"/>
        <v>2737</v>
      </c>
      <c r="G66" s="184">
        <f t="shared" si="3"/>
        <v>0</v>
      </c>
      <c r="H66" s="184">
        <f t="shared" si="3"/>
        <v>0</v>
      </c>
    </row>
    <row r="67" spans="1:8" ht="15">
      <c r="A67" s="192" t="s">
        <v>252</v>
      </c>
      <c r="B67" s="182" t="s">
        <v>185</v>
      </c>
      <c r="C67" s="182" t="s">
        <v>258</v>
      </c>
      <c r="D67" s="182" t="s">
        <v>260</v>
      </c>
      <c r="E67" s="193" t="s">
        <v>207</v>
      </c>
      <c r="F67" s="184">
        <v>2737</v>
      </c>
      <c r="G67" s="184">
        <v>0</v>
      </c>
      <c r="H67" s="184">
        <v>0</v>
      </c>
    </row>
    <row r="68" spans="1:8" ht="25.5">
      <c r="A68" s="199" t="s">
        <v>261</v>
      </c>
      <c r="B68" s="182" t="s">
        <v>185</v>
      </c>
      <c r="C68" s="182" t="s">
        <v>262</v>
      </c>
      <c r="D68" s="182"/>
      <c r="E68" s="183"/>
      <c r="F68" s="184">
        <f aca="true" t="shared" si="4" ref="F68:H71">F69</f>
        <v>427600</v>
      </c>
      <c r="G68" s="184">
        <f t="shared" si="4"/>
        <v>353866</v>
      </c>
      <c r="H68" s="184">
        <f t="shared" si="4"/>
        <v>360960</v>
      </c>
    </row>
    <row r="69" spans="1:8" ht="20.25" customHeight="1">
      <c r="A69" s="192" t="s">
        <v>263</v>
      </c>
      <c r="B69" s="182" t="s">
        <v>185</v>
      </c>
      <c r="C69" s="182" t="s">
        <v>262</v>
      </c>
      <c r="D69" s="204" t="s">
        <v>264</v>
      </c>
      <c r="E69" s="193"/>
      <c r="F69" s="184">
        <f t="shared" si="4"/>
        <v>427600</v>
      </c>
      <c r="G69" s="184">
        <f t="shared" si="4"/>
        <v>353866</v>
      </c>
      <c r="H69" s="184">
        <f t="shared" si="4"/>
        <v>360960</v>
      </c>
    </row>
    <row r="70" spans="1:8" ht="15">
      <c r="A70" s="192" t="s">
        <v>265</v>
      </c>
      <c r="B70" s="182" t="s">
        <v>185</v>
      </c>
      <c r="C70" s="182" t="s">
        <v>262</v>
      </c>
      <c r="D70" s="204" t="s">
        <v>266</v>
      </c>
      <c r="E70" s="193"/>
      <c r="F70" s="184">
        <f t="shared" si="4"/>
        <v>427600</v>
      </c>
      <c r="G70" s="184">
        <f t="shared" si="4"/>
        <v>353866</v>
      </c>
      <c r="H70" s="184">
        <f t="shared" si="4"/>
        <v>360960</v>
      </c>
    </row>
    <row r="71" spans="1:8" ht="19.5" customHeight="1">
      <c r="A71" s="191" t="s">
        <v>192</v>
      </c>
      <c r="B71" s="182" t="s">
        <v>185</v>
      </c>
      <c r="C71" s="182" t="s">
        <v>262</v>
      </c>
      <c r="D71" s="204" t="s">
        <v>267</v>
      </c>
      <c r="E71" s="183"/>
      <c r="F71" s="184">
        <f t="shared" si="4"/>
        <v>427600</v>
      </c>
      <c r="G71" s="184">
        <f t="shared" si="4"/>
        <v>353866</v>
      </c>
      <c r="H71" s="184">
        <f t="shared" si="4"/>
        <v>360960</v>
      </c>
    </row>
    <row r="72" spans="1:8" ht="45" customHeight="1">
      <c r="A72" s="192" t="s">
        <v>194</v>
      </c>
      <c r="B72" s="182" t="s">
        <v>185</v>
      </c>
      <c r="C72" s="182" t="s">
        <v>262</v>
      </c>
      <c r="D72" s="204" t="s">
        <v>267</v>
      </c>
      <c r="E72" s="193" t="s">
        <v>195</v>
      </c>
      <c r="F72" s="184">
        <f>427600</f>
        <v>427600</v>
      </c>
      <c r="G72" s="184">
        <v>353866</v>
      </c>
      <c r="H72" s="184">
        <v>360960</v>
      </c>
    </row>
    <row r="73" spans="1:8" ht="15" hidden="1">
      <c r="A73" s="205" t="s">
        <v>268</v>
      </c>
      <c r="B73" s="182" t="s">
        <v>185</v>
      </c>
      <c r="C73" s="182" t="s">
        <v>269</v>
      </c>
      <c r="D73" s="204"/>
      <c r="E73" s="193"/>
      <c r="F73" s="184">
        <f aca="true" t="shared" si="5" ref="F73:H76">F74</f>
        <v>0</v>
      </c>
      <c r="G73" s="184">
        <f t="shared" si="5"/>
        <v>0</v>
      </c>
      <c r="H73" s="184">
        <f t="shared" si="5"/>
        <v>0</v>
      </c>
    </row>
    <row r="74" spans="1:8" ht="15" hidden="1">
      <c r="A74" s="199" t="s">
        <v>246</v>
      </c>
      <c r="B74" s="182" t="s">
        <v>185</v>
      </c>
      <c r="C74" s="182" t="s">
        <v>269</v>
      </c>
      <c r="D74" s="204" t="s">
        <v>247</v>
      </c>
      <c r="E74" s="193"/>
      <c r="F74" s="184">
        <f t="shared" si="5"/>
        <v>0</v>
      </c>
      <c r="G74" s="184">
        <f t="shared" si="5"/>
        <v>0</v>
      </c>
      <c r="H74" s="184">
        <f t="shared" si="5"/>
        <v>0</v>
      </c>
    </row>
    <row r="75" spans="1:8" ht="15" hidden="1">
      <c r="A75" s="199" t="s">
        <v>270</v>
      </c>
      <c r="B75" s="182" t="s">
        <v>185</v>
      </c>
      <c r="C75" s="182" t="s">
        <v>269</v>
      </c>
      <c r="D75" s="204" t="s">
        <v>271</v>
      </c>
      <c r="E75" s="193"/>
      <c r="F75" s="184">
        <f t="shared" si="5"/>
        <v>0</v>
      </c>
      <c r="G75" s="184">
        <f t="shared" si="5"/>
        <v>0</v>
      </c>
      <c r="H75" s="184">
        <f t="shared" si="5"/>
        <v>0</v>
      </c>
    </row>
    <row r="76" spans="1:8" ht="15" hidden="1">
      <c r="A76" s="199" t="s">
        <v>272</v>
      </c>
      <c r="B76" s="182" t="s">
        <v>185</v>
      </c>
      <c r="C76" s="182" t="s">
        <v>269</v>
      </c>
      <c r="D76" s="204" t="s">
        <v>273</v>
      </c>
      <c r="E76" s="193"/>
      <c r="F76" s="184">
        <f t="shared" si="5"/>
        <v>0</v>
      </c>
      <c r="G76" s="184">
        <f t="shared" si="5"/>
        <v>0</v>
      </c>
      <c r="H76" s="184">
        <f t="shared" si="5"/>
        <v>0</v>
      </c>
    </row>
    <row r="77" spans="1:8" ht="15" hidden="1">
      <c r="A77" s="199" t="s">
        <v>274</v>
      </c>
      <c r="B77" s="182" t="s">
        <v>185</v>
      </c>
      <c r="C77" s="182" t="s">
        <v>269</v>
      </c>
      <c r="D77" s="204" t="s">
        <v>273</v>
      </c>
      <c r="E77" s="193" t="s">
        <v>275</v>
      </c>
      <c r="F77" s="184"/>
      <c r="G77" s="184"/>
      <c r="H77" s="184"/>
    </row>
    <row r="78" spans="1:8" ht="15">
      <c r="A78" s="199" t="s">
        <v>276</v>
      </c>
      <c r="B78" s="182" t="s">
        <v>185</v>
      </c>
      <c r="C78" s="182" t="s">
        <v>277</v>
      </c>
      <c r="D78" s="182"/>
      <c r="E78" s="183"/>
      <c r="F78" s="184">
        <f>F80</f>
        <v>5000000</v>
      </c>
      <c r="G78" s="184">
        <f>G80</f>
        <v>100000</v>
      </c>
      <c r="H78" s="184">
        <f>H80</f>
        <v>100000</v>
      </c>
    </row>
    <row r="79" spans="1:8" ht="15">
      <c r="A79" s="192" t="s">
        <v>278</v>
      </c>
      <c r="B79" s="182" t="s">
        <v>185</v>
      </c>
      <c r="C79" s="182" t="s">
        <v>277</v>
      </c>
      <c r="D79" s="190" t="s">
        <v>279</v>
      </c>
      <c r="E79" s="206" t="s">
        <v>280</v>
      </c>
      <c r="F79" s="184">
        <f aca="true" t="shared" si="6" ref="F79:H81">F80</f>
        <v>5000000</v>
      </c>
      <c r="G79" s="184">
        <f t="shared" si="6"/>
        <v>100000</v>
      </c>
      <c r="H79" s="184">
        <f t="shared" si="6"/>
        <v>100000</v>
      </c>
    </row>
    <row r="80" spans="1:8" ht="15">
      <c r="A80" s="192" t="s">
        <v>276</v>
      </c>
      <c r="B80" s="182" t="s">
        <v>185</v>
      </c>
      <c r="C80" s="182" t="s">
        <v>277</v>
      </c>
      <c r="D80" s="190" t="s">
        <v>281</v>
      </c>
      <c r="E80" s="206" t="s">
        <v>280</v>
      </c>
      <c r="F80" s="184">
        <f t="shared" si="6"/>
        <v>5000000</v>
      </c>
      <c r="G80" s="184">
        <f t="shared" si="6"/>
        <v>100000</v>
      </c>
      <c r="H80" s="184">
        <f t="shared" si="6"/>
        <v>100000</v>
      </c>
    </row>
    <row r="81" spans="1:8" ht="15">
      <c r="A81" s="191" t="s">
        <v>282</v>
      </c>
      <c r="B81" s="182" t="s">
        <v>185</v>
      </c>
      <c r="C81" s="182" t="s">
        <v>277</v>
      </c>
      <c r="D81" s="190" t="s">
        <v>283</v>
      </c>
      <c r="E81" s="206" t="s">
        <v>280</v>
      </c>
      <c r="F81" s="184">
        <f t="shared" si="6"/>
        <v>5000000</v>
      </c>
      <c r="G81" s="184">
        <f t="shared" si="6"/>
        <v>100000</v>
      </c>
      <c r="H81" s="184">
        <f t="shared" si="6"/>
        <v>100000</v>
      </c>
    </row>
    <row r="82" spans="1:8" ht="17.25" customHeight="1">
      <c r="A82" s="192" t="s">
        <v>274</v>
      </c>
      <c r="B82" s="182" t="s">
        <v>185</v>
      </c>
      <c r="C82" s="182" t="s">
        <v>277</v>
      </c>
      <c r="D82" s="190" t="s">
        <v>283</v>
      </c>
      <c r="E82" s="206" t="s">
        <v>275</v>
      </c>
      <c r="F82" s="184">
        <f>5000000</f>
        <v>5000000</v>
      </c>
      <c r="G82" s="184">
        <v>100000</v>
      </c>
      <c r="H82" s="184">
        <v>100000</v>
      </c>
    </row>
    <row r="83" spans="1:8" ht="15">
      <c r="A83" s="199" t="s">
        <v>284</v>
      </c>
      <c r="B83" s="182" t="s">
        <v>185</v>
      </c>
      <c r="C83" s="182" t="s">
        <v>285</v>
      </c>
      <c r="D83" s="182"/>
      <c r="E83" s="183"/>
      <c r="F83" s="184">
        <f>F84+F106+F143+F148+F117+F129+F122+F112+F138+F164+F96+F160+F101</f>
        <v>27504292</v>
      </c>
      <c r="G83" s="184">
        <f>G84+G106+G143+G148+G117+G129+G122+G112+G138+G164+G96+G160+G101</f>
        <v>21827612</v>
      </c>
      <c r="H83" s="184">
        <f>H84+H106+H143+H148+H117+H129+H122+H112+H138+H164+H96+H160+H101</f>
        <v>24750850</v>
      </c>
    </row>
    <row r="84" spans="1:8" ht="30.75" customHeight="1">
      <c r="A84" s="199" t="s">
        <v>286</v>
      </c>
      <c r="B84" s="182" t="s">
        <v>185</v>
      </c>
      <c r="C84" s="182" t="s">
        <v>285</v>
      </c>
      <c r="D84" s="182" t="s">
        <v>212</v>
      </c>
      <c r="E84" s="183"/>
      <c r="F84" s="184">
        <f>F85+F89</f>
        <v>111000</v>
      </c>
      <c r="G84" s="184">
        <f>G85+G89</f>
        <v>111000</v>
      </c>
      <c r="H84" s="184">
        <f>H85+H89</f>
        <v>111000</v>
      </c>
    </row>
    <row r="85" spans="1:8" ht="41.25" customHeight="1">
      <c r="A85" s="191" t="s">
        <v>287</v>
      </c>
      <c r="B85" s="182" t="s">
        <v>185</v>
      </c>
      <c r="C85" s="182" t="s">
        <v>285</v>
      </c>
      <c r="D85" s="182" t="s">
        <v>288</v>
      </c>
      <c r="E85" s="183"/>
      <c r="F85" s="184">
        <f aca="true" t="shared" si="7" ref="F85:H87">F86</f>
        <v>84000</v>
      </c>
      <c r="G85" s="184">
        <f t="shared" si="7"/>
        <v>84000</v>
      </c>
      <c r="H85" s="184">
        <f t="shared" si="7"/>
        <v>84000</v>
      </c>
    </row>
    <row r="86" spans="1:8" ht="30.75" customHeight="1">
      <c r="A86" s="191" t="s">
        <v>289</v>
      </c>
      <c r="B86" s="182" t="s">
        <v>185</v>
      </c>
      <c r="C86" s="182" t="s">
        <v>285</v>
      </c>
      <c r="D86" s="182" t="s">
        <v>290</v>
      </c>
      <c r="E86" s="183"/>
      <c r="F86" s="184">
        <f t="shared" si="7"/>
        <v>84000</v>
      </c>
      <c r="G86" s="184">
        <f t="shared" si="7"/>
        <v>84000</v>
      </c>
      <c r="H86" s="184">
        <f t="shared" si="7"/>
        <v>84000</v>
      </c>
    </row>
    <row r="87" spans="1:8" ht="15.75" customHeight="1">
      <c r="A87" s="192" t="s">
        <v>291</v>
      </c>
      <c r="B87" s="182" t="s">
        <v>185</v>
      </c>
      <c r="C87" s="182" t="s">
        <v>285</v>
      </c>
      <c r="D87" s="207" t="s">
        <v>292</v>
      </c>
      <c r="E87" s="183"/>
      <c r="F87" s="184">
        <f t="shared" si="7"/>
        <v>84000</v>
      </c>
      <c r="G87" s="184">
        <f t="shared" si="7"/>
        <v>84000</v>
      </c>
      <c r="H87" s="184">
        <f t="shared" si="7"/>
        <v>84000</v>
      </c>
    </row>
    <row r="88" spans="1:8" ht="28.5" customHeight="1">
      <c r="A88" s="192" t="s">
        <v>206</v>
      </c>
      <c r="B88" s="182" t="s">
        <v>185</v>
      </c>
      <c r="C88" s="182" t="s">
        <v>285</v>
      </c>
      <c r="D88" s="207" t="s">
        <v>292</v>
      </c>
      <c r="E88" s="183" t="s">
        <v>207</v>
      </c>
      <c r="F88" s="184">
        <f>34000+50000</f>
        <v>84000</v>
      </c>
      <c r="G88" s="184">
        <f>34000+50000</f>
        <v>84000</v>
      </c>
      <c r="H88" s="184">
        <f>34000+50000</f>
        <v>84000</v>
      </c>
    </row>
    <row r="89" spans="1:8" ht="51.75" customHeight="1">
      <c r="A89" s="192" t="s">
        <v>213</v>
      </c>
      <c r="B89" s="182" t="s">
        <v>185</v>
      </c>
      <c r="C89" s="182" t="s">
        <v>285</v>
      </c>
      <c r="D89" s="182" t="s">
        <v>214</v>
      </c>
      <c r="E89" s="183"/>
      <c r="F89" s="184">
        <f>F90+F93</f>
        <v>27000</v>
      </c>
      <c r="G89" s="184">
        <f>G90+G93</f>
        <v>27000</v>
      </c>
      <c r="H89" s="184">
        <f>H90+H93</f>
        <v>27000</v>
      </c>
    </row>
    <row r="90" spans="1:8" ht="38.25" hidden="1">
      <c r="A90" s="195" t="s">
        <v>293</v>
      </c>
      <c r="B90" s="182" t="s">
        <v>185</v>
      </c>
      <c r="C90" s="182" t="s">
        <v>285</v>
      </c>
      <c r="D90" s="182" t="s">
        <v>294</v>
      </c>
      <c r="E90" s="183"/>
      <c r="F90" s="184">
        <f>F92</f>
        <v>0</v>
      </c>
      <c r="G90" s="184">
        <f>G92</f>
        <v>0</v>
      </c>
      <c r="H90" s="184">
        <f>H92</f>
        <v>0</v>
      </c>
    </row>
    <row r="91" spans="1:8" ht="63.75" hidden="1">
      <c r="A91" s="200" t="s">
        <v>295</v>
      </c>
      <c r="B91" s="182" t="s">
        <v>185</v>
      </c>
      <c r="C91" s="182" t="s">
        <v>285</v>
      </c>
      <c r="D91" s="208" t="s">
        <v>296</v>
      </c>
      <c r="E91" s="183"/>
      <c r="F91" s="184">
        <f>F92</f>
        <v>0</v>
      </c>
      <c r="G91" s="184">
        <f>G92</f>
        <v>0</v>
      </c>
      <c r="H91" s="184">
        <f>H92</f>
        <v>0</v>
      </c>
    </row>
    <row r="92" spans="1:8" ht="25.5" hidden="1">
      <c r="A92" s="192" t="s">
        <v>206</v>
      </c>
      <c r="B92" s="182" t="s">
        <v>185</v>
      </c>
      <c r="C92" s="182" t="s">
        <v>285</v>
      </c>
      <c r="D92" s="208" t="s">
        <v>296</v>
      </c>
      <c r="E92" s="183" t="s">
        <v>207</v>
      </c>
      <c r="F92" s="184"/>
      <c r="G92" s="184"/>
      <c r="H92" s="184"/>
    </row>
    <row r="93" spans="1:8" ht="28.5" customHeight="1">
      <c r="A93" s="200" t="s">
        <v>297</v>
      </c>
      <c r="B93" s="182" t="s">
        <v>185</v>
      </c>
      <c r="C93" s="182" t="s">
        <v>285</v>
      </c>
      <c r="D93" s="182" t="s">
        <v>298</v>
      </c>
      <c r="E93" s="183"/>
      <c r="F93" s="184">
        <f aca="true" t="shared" si="8" ref="F93:H94">F94</f>
        <v>27000</v>
      </c>
      <c r="G93" s="184">
        <f t="shared" si="8"/>
        <v>27000</v>
      </c>
      <c r="H93" s="184">
        <f t="shared" si="8"/>
        <v>27000</v>
      </c>
    </row>
    <row r="94" spans="1:8" ht="31.5" customHeight="1">
      <c r="A94" s="191" t="s">
        <v>299</v>
      </c>
      <c r="B94" s="182" t="s">
        <v>185</v>
      </c>
      <c r="C94" s="182" t="s">
        <v>285</v>
      </c>
      <c r="D94" s="207" t="s">
        <v>300</v>
      </c>
      <c r="E94" s="183"/>
      <c r="F94" s="184">
        <f t="shared" si="8"/>
        <v>27000</v>
      </c>
      <c r="G94" s="184">
        <f t="shared" si="8"/>
        <v>27000</v>
      </c>
      <c r="H94" s="184">
        <f t="shared" si="8"/>
        <v>27000</v>
      </c>
    </row>
    <row r="95" spans="1:8" ht="18" customHeight="1">
      <c r="A95" s="192" t="s">
        <v>206</v>
      </c>
      <c r="B95" s="182" t="s">
        <v>185</v>
      </c>
      <c r="C95" s="182" t="s">
        <v>285</v>
      </c>
      <c r="D95" s="207" t="s">
        <v>300</v>
      </c>
      <c r="E95" s="183" t="s">
        <v>207</v>
      </c>
      <c r="F95" s="184">
        <v>27000</v>
      </c>
      <c r="G95" s="184">
        <v>27000</v>
      </c>
      <c r="H95" s="184">
        <v>27000</v>
      </c>
    </row>
    <row r="96" spans="1:8" ht="25.5">
      <c r="A96" s="199" t="s">
        <v>301</v>
      </c>
      <c r="B96" s="182" t="s">
        <v>185</v>
      </c>
      <c r="C96" s="182" t="s">
        <v>285</v>
      </c>
      <c r="D96" s="182" t="s">
        <v>302</v>
      </c>
      <c r="E96" s="183"/>
      <c r="F96" s="184">
        <f aca="true" t="shared" si="9" ref="F96:H99">F97</f>
        <v>194944</v>
      </c>
      <c r="G96" s="184">
        <f t="shared" si="9"/>
        <v>194944</v>
      </c>
      <c r="H96" s="184">
        <f t="shared" si="9"/>
        <v>194944</v>
      </c>
    </row>
    <row r="97" spans="1:8" ht="38.25">
      <c r="A97" s="209" t="s">
        <v>303</v>
      </c>
      <c r="B97" s="182" t="s">
        <v>185</v>
      </c>
      <c r="C97" s="182" t="s">
        <v>285</v>
      </c>
      <c r="D97" s="182" t="s">
        <v>304</v>
      </c>
      <c r="E97" s="183"/>
      <c r="F97" s="184">
        <f t="shared" si="9"/>
        <v>194944</v>
      </c>
      <c r="G97" s="184">
        <f t="shared" si="9"/>
        <v>194944</v>
      </c>
      <c r="H97" s="184">
        <f t="shared" si="9"/>
        <v>194944</v>
      </c>
    </row>
    <row r="98" spans="1:8" ht="25.5">
      <c r="A98" s="199" t="s">
        <v>305</v>
      </c>
      <c r="B98" s="182" t="s">
        <v>185</v>
      </c>
      <c r="C98" s="182" t="s">
        <v>285</v>
      </c>
      <c r="D98" s="182" t="s">
        <v>306</v>
      </c>
      <c r="E98" s="183"/>
      <c r="F98" s="184">
        <f t="shared" si="9"/>
        <v>194944</v>
      </c>
      <c r="G98" s="184">
        <f t="shared" si="9"/>
        <v>194944</v>
      </c>
      <c r="H98" s="184">
        <f t="shared" si="9"/>
        <v>194944</v>
      </c>
    </row>
    <row r="99" spans="1:8" ht="25.5">
      <c r="A99" s="199" t="s">
        <v>307</v>
      </c>
      <c r="B99" s="182" t="s">
        <v>185</v>
      </c>
      <c r="C99" s="182" t="s">
        <v>285</v>
      </c>
      <c r="D99" s="182" t="s">
        <v>308</v>
      </c>
      <c r="E99" s="193"/>
      <c r="F99" s="184">
        <f t="shared" si="9"/>
        <v>194944</v>
      </c>
      <c r="G99" s="184">
        <f t="shared" si="9"/>
        <v>194944</v>
      </c>
      <c r="H99" s="184">
        <f t="shared" si="9"/>
        <v>194944</v>
      </c>
    </row>
    <row r="100" spans="1:8" ht="38.25">
      <c r="A100" s="192" t="s">
        <v>194</v>
      </c>
      <c r="B100" s="182" t="s">
        <v>185</v>
      </c>
      <c r="C100" s="182" t="s">
        <v>285</v>
      </c>
      <c r="D100" s="182" t="s">
        <v>308</v>
      </c>
      <c r="E100" s="210" t="s">
        <v>195</v>
      </c>
      <c r="F100" s="184">
        <v>194944</v>
      </c>
      <c r="G100" s="184">
        <v>194944</v>
      </c>
      <c r="H100" s="184">
        <v>194944</v>
      </c>
    </row>
    <row r="101" spans="1:8" ht="33" customHeight="1">
      <c r="A101" s="192" t="s">
        <v>309</v>
      </c>
      <c r="B101" s="182" t="s">
        <v>185</v>
      </c>
      <c r="C101" s="182" t="s">
        <v>285</v>
      </c>
      <c r="D101" s="182" t="s">
        <v>310</v>
      </c>
      <c r="E101" s="210"/>
      <c r="F101" s="184">
        <f aca="true" t="shared" si="10" ref="F101:H104">F102</f>
        <v>30000</v>
      </c>
      <c r="G101" s="184">
        <f t="shared" si="10"/>
        <v>30000</v>
      </c>
      <c r="H101" s="184">
        <f t="shared" si="10"/>
        <v>30000</v>
      </c>
    </row>
    <row r="102" spans="1:8" ht="51">
      <c r="A102" s="211" t="s">
        <v>311</v>
      </c>
      <c r="B102" s="182" t="s">
        <v>185</v>
      </c>
      <c r="C102" s="182" t="s">
        <v>285</v>
      </c>
      <c r="D102" s="182" t="s">
        <v>312</v>
      </c>
      <c r="E102" s="210"/>
      <c r="F102" s="184">
        <f t="shared" si="10"/>
        <v>30000</v>
      </c>
      <c r="G102" s="184">
        <f t="shared" si="10"/>
        <v>30000</v>
      </c>
      <c r="H102" s="184">
        <f t="shared" si="10"/>
        <v>30000</v>
      </c>
    </row>
    <row r="103" spans="1:8" ht="27" customHeight="1">
      <c r="A103" s="212" t="s">
        <v>313</v>
      </c>
      <c r="B103" s="182" t="s">
        <v>185</v>
      </c>
      <c r="C103" s="182" t="s">
        <v>285</v>
      </c>
      <c r="D103" s="182" t="s">
        <v>314</v>
      </c>
      <c r="E103" s="210"/>
      <c r="F103" s="184">
        <f t="shared" si="10"/>
        <v>30000</v>
      </c>
      <c r="G103" s="184">
        <f t="shared" si="10"/>
        <v>30000</v>
      </c>
      <c r="H103" s="184">
        <f t="shared" si="10"/>
        <v>30000</v>
      </c>
    </row>
    <row r="104" spans="1:8" ht="15">
      <c r="A104" s="197" t="s">
        <v>315</v>
      </c>
      <c r="B104" s="182" t="s">
        <v>185</v>
      </c>
      <c r="C104" s="182" t="s">
        <v>285</v>
      </c>
      <c r="D104" s="182" t="s">
        <v>316</v>
      </c>
      <c r="E104" s="210"/>
      <c r="F104" s="184">
        <f t="shared" si="10"/>
        <v>30000</v>
      </c>
      <c r="G104" s="184">
        <f t="shared" si="10"/>
        <v>30000</v>
      </c>
      <c r="H104" s="184">
        <f t="shared" si="10"/>
        <v>30000</v>
      </c>
    </row>
    <row r="105" spans="1:8" ht="25.5">
      <c r="A105" s="192" t="s">
        <v>206</v>
      </c>
      <c r="B105" s="182" t="s">
        <v>185</v>
      </c>
      <c r="C105" s="182" t="s">
        <v>285</v>
      </c>
      <c r="D105" s="182" t="s">
        <v>316</v>
      </c>
      <c r="E105" s="210" t="s">
        <v>207</v>
      </c>
      <c r="F105" s="184">
        <f>30000</f>
        <v>30000</v>
      </c>
      <c r="G105" s="184">
        <f>30000</f>
        <v>30000</v>
      </c>
      <c r="H105" s="184">
        <f>30000</f>
        <v>30000</v>
      </c>
    </row>
    <row r="106" spans="1:8" ht="30" customHeight="1">
      <c r="A106" s="209" t="s">
        <v>317</v>
      </c>
      <c r="B106" s="182" t="s">
        <v>185</v>
      </c>
      <c r="C106" s="182" t="s">
        <v>285</v>
      </c>
      <c r="D106" s="182" t="s">
        <v>318</v>
      </c>
      <c r="E106" s="193"/>
      <c r="F106" s="184">
        <f aca="true" t="shared" si="11" ref="F106:H108">F107</f>
        <v>598000</v>
      </c>
      <c r="G106" s="184">
        <f t="shared" si="11"/>
        <v>598000</v>
      </c>
      <c r="H106" s="184">
        <f t="shared" si="11"/>
        <v>598000</v>
      </c>
    </row>
    <row r="107" spans="1:8" ht="40.5" customHeight="1">
      <c r="A107" s="211" t="s">
        <v>319</v>
      </c>
      <c r="B107" s="182" t="s">
        <v>185</v>
      </c>
      <c r="C107" s="182" t="s">
        <v>285</v>
      </c>
      <c r="D107" s="182" t="s">
        <v>320</v>
      </c>
      <c r="E107" s="193"/>
      <c r="F107" s="184">
        <f t="shared" si="11"/>
        <v>598000</v>
      </c>
      <c r="G107" s="184">
        <f t="shared" si="11"/>
        <v>598000</v>
      </c>
      <c r="H107" s="184">
        <f t="shared" si="11"/>
        <v>598000</v>
      </c>
    </row>
    <row r="108" spans="1:8" ht="18.75" customHeight="1">
      <c r="A108" s="211" t="s">
        <v>321</v>
      </c>
      <c r="B108" s="182" t="s">
        <v>185</v>
      </c>
      <c r="C108" s="182" t="s">
        <v>285</v>
      </c>
      <c r="D108" s="182" t="s">
        <v>322</v>
      </c>
      <c r="E108" s="193"/>
      <c r="F108" s="184">
        <f t="shared" si="11"/>
        <v>598000</v>
      </c>
      <c r="G108" s="184">
        <f t="shared" si="11"/>
        <v>598000</v>
      </c>
      <c r="H108" s="184">
        <f t="shared" si="11"/>
        <v>598000</v>
      </c>
    </row>
    <row r="109" spans="1:8" ht="17.25" customHeight="1">
      <c r="A109" s="211" t="s">
        <v>323</v>
      </c>
      <c r="B109" s="182" t="s">
        <v>185</v>
      </c>
      <c r="C109" s="182" t="s">
        <v>285</v>
      </c>
      <c r="D109" s="182" t="s">
        <v>324</v>
      </c>
      <c r="E109" s="193"/>
      <c r="F109" s="184">
        <f>F111+F110</f>
        <v>598000</v>
      </c>
      <c r="G109" s="184">
        <f>G111+G110</f>
        <v>598000</v>
      </c>
      <c r="H109" s="184">
        <f>H111+H110</f>
        <v>598000</v>
      </c>
    </row>
    <row r="110" spans="1:8" ht="38.25" hidden="1">
      <c r="A110" s="192" t="s">
        <v>194</v>
      </c>
      <c r="B110" s="182" t="s">
        <v>185</v>
      </c>
      <c r="C110" s="182" t="s">
        <v>285</v>
      </c>
      <c r="D110" s="182" t="s">
        <v>324</v>
      </c>
      <c r="E110" s="193" t="s">
        <v>195</v>
      </c>
      <c r="F110" s="184"/>
      <c r="G110" s="184"/>
      <c r="H110" s="184"/>
    </row>
    <row r="111" spans="1:8" ht="20.25" customHeight="1">
      <c r="A111" s="192" t="s">
        <v>206</v>
      </c>
      <c r="B111" s="182" t="s">
        <v>185</v>
      </c>
      <c r="C111" s="182" t="s">
        <v>285</v>
      </c>
      <c r="D111" s="182" t="s">
        <v>324</v>
      </c>
      <c r="E111" s="183" t="s">
        <v>207</v>
      </c>
      <c r="F111" s="184">
        <f>748000-150000</f>
        <v>598000</v>
      </c>
      <c r="G111" s="184">
        <f>748000-150000</f>
        <v>598000</v>
      </c>
      <c r="H111" s="184">
        <f>748000-150000</f>
        <v>598000</v>
      </c>
    </row>
    <row r="112" spans="1:8" ht="0.75" customHeight="1" hidden="1">
      <c r="A112" s="197" t="s">
        <v>219</v>
      </c>
      <c r="B112" s="182" t="s">
        <v>185</v>
      </c>
      <c r="C112" s="182" t="s">
        <v>285</v>
      </c>
      <c r="D112" s="190" t="s">
        <v>220</v>
      </c>
      <c r="E112" s="183"/>
      <c r="F112" s="184">
        <f aca="true" t="shared" si="12" ref="F112:H115">F113</f>
        <v>227849</v>
      </c>
      <c r="G112" s="184">
        <f t="shared" si="12"/>
        <v>175000</v>
      </c>
      <c r="H112" s="184">
        <f t="shared" si="12"/>
        <v>175000</v>
      </c>
    </row>
    <row r="113" spans="1:8" ht="66.75" customHeight="1" hidden="1">
      <c r="A113" s="197" t="s">
        <v>221</v>
      </c>
      <c r="B113" s="182" t="s">
        <v>185</v>
      </c>
      <c r="C113" s="182" t="s">
        <v>285</v>
      </c>
      <c r="D113" s="190" t="s">
        <v>222</v>
      </c>
      <c r="E113" s="183"/>
      <c r="F113" s="184">
        <f t="shared" si="12"/>
        <v>227849</v>
      </c>
      <c r="G113" s="184">
        <f t="shared" si="12"/>
        <v>175000</v>
      </c>
      <c r="H113" s="184">
        <f t="shared" si="12"/>
        <v>175000</v>
      </c>
    </row>
    <row r="114" spans="1:8" ht="25.5" hidden="1">
      <c r="A114" s="199" t="s">
        <v>223</v>
      </c>
      <c r="B114" s="182" t="s">
        <v>185</v>
      </c>
      <c r="C114" s="182" t="s">
        <v>285</v>
      </c>
      <c r="D114" s="190" t="s">
        <v>224</v>
      </c>
      <c r="E114" s="183"/>
      <c r="F114" s="184">
        <f t="shared" si="12"/>
        <v>227849</v>
      </c>
      <c r="G114" s="184">
        <f t="shared" si="12"/>
        <v>175000</v>
      </c>
      <c r="H114" s="184">
        <f t="shared" si="12"/>
        <v>175000</v>
      </c>
    </row>
    <row r="115" spans="1:8" ht="18.75" customHeight="1">
      <c r="A115" s="192" t="s">
        <v>325</v>
      </c>
      <c r="B115" s="182" t="s">
        <v>185</v>
      </c>
      <c r="C115" s="182" t="s">
        <v>285</v>
      </c>
      <c r="D115" s="190" t="s">
        <v>326</v>
      </c>
      <c r="E115" s="183"/>
      <c r="F115" s="184">
        <f t="shared" si="12"/>
        <v>227849</v>
      </c>
      <c r="G115" s="184">
        <f t="shared" si="12"/>
        <v>175000</v>
      </c>
      <c r="H115" s="184">
        <f t="shared" si="12"/>
        <v>175000</v>
      </c>
    </row>
    <row r="116" spans="1:8" ht="24" customHeight="1">
      <c r="A116" s="192" t="s">
        <v>206</v>
      </c>
      <c r="B116" s="182" t="s">
        <v>185</v>
      </c>
      <c r="C116" s="182" t="s">
        <v>285</v>
      </c>
      <c r="D116" s="190" t="s">
        <v>326</v>
      </c>
      <c r="E116" s="193" t="s">
        <v>207</v>
      </c>
      <c r="F116" s="184">
        <v>227849</v>
      </c>
      <c r="G116" s="184">
        <f>100000+75000</f>
        <v>175000</v>
      </c>
      <c r="H116" s="184">
        <f>100000+75000</f>
        <v>175000</v>
      </c>
    </row>
    <row r="117" spans="1:8" ht="38.25" hidden="1">
      <c r="A117" s="209" t="s">
        <v>327</v>
      </c>
      <c r="B117" s="182" t="s">
        <v>185</v>
      </c>
      <c r="C117" s="182" t="s">
        <v>285</v>
      </c>
      <c r="D117" s="182" t="s">
        <v>328</v>
      </c>
      <c r="E117" s="183"/>
      <c r="F117" s="184">
        <f aca="true" t="shared" si="13" ref="F117:H120">F118</f>
        <v>0</v>
      </c>
      <c r="G117" s="184">
        <f t="shared" si="13"/>
        <v>0</v>
      </c>
      <c r="H117" s="184">
        <f t="shared" si="13"/>
        <v>0</v>
      </c>
    </row>
    <row r="118" spans="1:8" ht="51" hidden="1">
      <c r="A118" s="211" t="s">
        <v>329</v>
      </c>
      <c r="B118" s="182" t="s">
        <v>185</v>
      </c>
      <c r="C118" s="182" t="s">
        <v>285</v>
      </c>
      <c r="D118" s="182" t="s">
        <v>330</v>
      </c>
      <c r="E118" s="183"/>
      <c r="F118" s="184">
        <f t="shared" si="13"/>
        <v>0</v>
      </c>
      <c r="G118" s="184">
        <f t="shared" si="13"/>
        <v>0</v>
      </c>
      <c r="H118" s="184">
        <f t="shared" si="13"/>
        <v>0</v>
      </c>
    </row>
    <row r="119" spans="1:8" ht="25.5" hidden="1">
      <c r="A119" s="213" t="s">
        <v>331</v>
      </c>
      <c r="B119" s="182" t="s">
        <v>185</v>
      </c>
      <c r="C119" s="182" t="s">
        <v>285</v>
      </c>
      <c r="D119" s="182" t="s">
        <v>332</v>
      </c>
      <c r="E119" s="183"/>
      <c r="F119" s="184">
        <f t="shared" si="13"/>
        <v>0</v>
      </c>
      <c r="G119" s="184">
        <f t="shared" si="13"/>
        <v>0</v>
      </c>
      <c r="H119" s="184">
        <f t="shared" si="13"/>
        <v>0</v>
      </c>
    </row>
    <row r="120" spans="1:8" ht="25.5" hidden="1">
      <c r="A120" s="199" t="s">
        <v>333</v>
      </c>
      <c r="B120" s="182" t="s">
        <v>185</v>
      </c>
      <c r="C120" s="182" t="s">
        <v>285</v>
      </c>
      <c r="D120" s="182" t="s">
        <v>334</v>
      </c>
      <c r="E120" s="183"/>
      <c r="F120" s="184">
        <f t="shared" si="13"/>
        <v>0</v>
      </c>
      <c r="G120" s="184">
        <f t="shared" si="13"/>
        <v>0</v>
      </c>
      <c r="H120" s="184">
        <f t="shared" si="13"/>
        <v>0</v>
      </c>
    </row>
    <row r="121" spans="1:8" ht="25.5" hidden="1">
      <c r="A121" s="192" t="s">
        <v>206</v>
      </c>
      <c r="B121" s="182" t="s">
        <v>185</v>
      </c>
      <c r="C121" s="182" t="s">
        <v>285</v>
      </c>
      <c r="D121" s="182" t="s">
        <v>334</v>
      </c>
      <c r="E121" s="183" t="s">
        <v>207</v>
      </c>
      <c r="F121" s="184"/>
      <c r="G121" s="184"/>
      <c r="H121" s="184"/>
    </row>
    <row r="122" spans="1:8" ht="41.25" customHeight="1">
      <c r="A122" s="199" t="s">
        <v>227</v>
      </c>
      <c r="B122" s="182" t="s">
        <v>185</v>
      </c>
      <c r="C122" s="182" t="s">
        <v>285</v>
      </c>
      <c r="D122" s="190" t="s">
        <v>228</v>
      </c>
      <c r="E122" s="183"/>
      <c r="F122" s="184">
        <f aca="true" t="shared" si="14" ref="F122:H123">F123</f>
        <v>110000</v>
      </c>
      <c r="G122" s="184">
        <f t="shared" si="14"/>
        <v>110000</v>
      </c>
      <c r="H122" s="184">
        <f t="shared" si="14"/>
        <v>110000</v>
      </c>
    </row>
    <row r="123" spans="1:8" ht="57.75" customHeight="1">
      <c r="A123" s="214" t="s">
        <v>335</v>
      </c>
      <c r="B123" s="182" t="s">
        <v>185</v>
      </c>
      <c r="C123" s="182" t="s">
        <v>285</v>
      </c>
      <c r="D123" s="190" t="s">
        <v>336</v>
      </c>
      <c r="E123" s="183"/>
      <c r="F123" s="184">
        <f t="shared" si="14"/>
        <v>110000</v>
      </c>
      <c r="G123" s="184">
        <f t="shared" si="14"/>
        <v>110000</v>
      </c>
      <c r="H123" s="184">
        <f t="shared" si="14"/>
        <v>110000</v>
      </c>
    </row>
    <row r="124" spans="1:8" ht="25.5">
      <c r="A124" s="197" t="s">
        <v>337</v>
      </c>
      <c r="B124" s="182" t="s">
        <v>185</v>
      </c>
      <c r="C124" s="182" t="s">
        <v>285</v>
      </c>
      <c r="D124" s="204" t="s">
        <v>338</v>
      </c>
      <c r="E124" s="183"/>
      <c r="F124" s="184">
        <f>F125+F127</f>
        <v>110000</v>
      </c>
      <c r="G124" s="184">
        <f>G125+G127</f>
        <v>110000</v>
      </c>
      <c r="H124" s="184">
        <f>H125+H127</f>
        <v>110000</v>
      </c>
    </row>
    <row r="125" spans="1:8" ht="30" customHeight="1">
      <c r="A125" s="192" t="s">
        <v>339</v>
      </c>
      <c r="B125" s="182" t="s">
        <v>185</v>
      </c>
      <c r="C125" s="182" t="s">
        <v>285</v>
      </c>
      <c r="D125" s="204" t="s">
        <v>340</v>
      </c>
      <c r="E125" s="183"/>
      <c r="F125" s="184">
        <f>F126</f>
        <v>50000</v>
      </c>
      <c r="G125" s="184">
        <f>G126</f>
        <v>50000</v>
      </c>
      <c r="H125" s="184">
        <f>H126</f>
        <v>50000</v>
      </c>
    </row>
    <row r="126" spans="1:8" ht="16.5" customHeight="1">
      <c r="A126" s="192" t="s">
        <v>206</v>
      </c>
      <c r="B126" s="182" t="s">
        <v>185</v>
      </c>
      <c r="C126" s="182" t="s">
        <v>285</v>
      </c>
      <c r="D126" s="204" t="s">
        <v>340</v>
      </c>
      <c r="E126" s="183" t="s">
        <v>207</v>
      </c>
      <c r="F126" s="184">
        <f>20000+30000</f>
        <v>50000</v>
      </c>
      <c r="G126" s="184">
        <f>20000+30000</f>
        <v>50000</v>
      </c>
      <c r="H126" s="184">
        <f>20000+30000</f>
        <v>50000</v>
      </c>
    </row>
    <row r="127" spans="1:8" ht="25.5">
      <c r="A127" s="192" t="s">
        <v>341</v>
      </c>
      <c r="B127" s="182" t="s">
        <v>185</v>
      </c>
      <c r="C127" s="182" t="s">
        <v>285</v>
      </c>
      <c r="D127" s="204" t="s">
        <v>342</v>
      </c>
      <c r="E127" s="183"/>
      <c r="F127" s="184">
        <f>F128</f>
        <v>60000</v>
      </c>
      <c r="G127" s="184">
        <f>G128</f>
        <v>60000</v>
      </c>
      <c r="H127" s="184">
        <f>H128</f>
        <v>60000</v>
      </c>
    </row>
    <row r="128" spans="1:8" ht="18.75" customHeight="1">
      <c r="A128" s="192" t="s">
        <v>206</v>
      </c>
      <c r="B128" s="182" t="s">
        <v>185</v>
      </c>
      <c r="C128" s="182" t="s">
        <v>285</v>
      </c>
      <c r="D128" s="204" t="s">
        <v>342</v>
      </c>
      <c r="E128" s="183" t="s">
        <v>207</v>
      </c>
      <c r="F128" s="184">
        <f>40000+20000</f>
        <v>60000</v>
      </c>
      <c r="G128" s="184">
        <f>40000+20000</f>
        <v>60000</v>
      </c>
      <c r="H128" s="184">
        <f>40000+20000</f>
        <v>60000</v>
      </c>
    </row>
    <row r="129" spans="1:8" ht="32.25" customHeight="1">
      <c r="A129" s="192" t="s">
        <v>343</v>
      </c>
      <c r="B129" s="182" t="s">
        <v>185</v>
      </c>
      <c r="C129" s="182" t="s">
        <v>285</v>
      </c>
      <c r="D129" s="207" t="s">
        <v>344</v>
      </c>
      <c r="E129" s="183"/>
      <c r="F129" s="184">
        <f>F130+F134</f>
        <v>200000</v>
      </c>
      <c r="G129" s="184">
        <f>G130+G134</f>
        <v>200000</v>
      </c>
      <c r="H129" s="184">
        <f>H130+H134</f>
        <v>200000</v>
      </c>
    </row>
    <row r="130" spans="1:8" ht="51" customHeight="1" hidden="1">
      <c r="A130" s="200" t="s">
        <v>345</v>
      </c>
      <c r="B130" s="182" t="s">
        <v>185</v>
      </c>
      <c r="C130" s="182" t="s">
        <v>285</v>
      </c>
      <c r="D130" s="207" t="s">
        <v>346</v>
      </c>
      <c r="E130" s="183"/>
      <c r="F130" s="184">
        <f aca="true" t="shared" si="15" ref="F130:H132">F131</f>
        <v>0</v>
      </c>
      <c r="G130" s="184">
        <f t="shared" si="15"/>
        <v>0</v>
      </c>
      <c r="H130" s="184">
        <f t="shared" si="15"/>
        <v>0</v>
      </c>
    </row>
    <row r="131" spans="1:8" ht="15" hidden="1">
      <c r="A131" s="200" t="s">
        <v>347</v>
      </c>
      <c r="B131" s="182" t="s">
        <v>185</v>
      </c>
      <c r="C131" s="182" t="s">
        <v>285</v>
      </c>
      <c r="D131" s="207" t="s">
        <v>348</v>
      </c>
      <c r="E131" s="183"/>
      <c r="F131" s="184">
        <f t="shared" si="15"/>
        <v>0</v>
      </c>
      <c r="G131" s="184">
        <f t="shared" si="15"/>
        <v>0</v>
      </c>
      <c r="H131" s="184">
        <f t="shared" si="15"/>
        <v>0</v>
      </c>
    </row>
    <row r="132" spans="1:8" ht="25.5" hidden="1">
      <c r="A132" s="192" t="s">
        <v>349</v>
      </c>
      <c r="B132" s="182" t="s">
        <v>185</v>
      </c>
      <c r="C132" s="182" t="s">
        <v>285</v>
      </c>
      <c r="D132" s="207" t="s">
        <v>350</v>
      </c>
      <c r="E132" s="183"/>
      <c r="F132" s="184">
        <f t="shared" si="15"/>
        <v>0</v>
      </c>
      <c r="G132" s="184">
        <f t="shared" si="15"/>
        <v>0</v>
      </c>
      <c r="H132" s="184">
        <f t="shared" si="15"/>
        <v>0</v>
      </c>
    </row>
    <row r="133" spans="1:8" ht="25.5" hidden="1">
      <c r="A133" s="192" t="s">
        <v>206</v>
      </c>
      <c r="B133" s="182" t="s">
        <v>185</v>
      </c>
      <c r="C133" s="182" t="s">
        <v>285</v>
      </c>
      <c r="D133" s="207" t="s">
        <v>350</v>
      </c>
      <c r="E133" s="183" t="s">
        <v>207</v>
      </c>
      <c r="F133" s="184">
        <f>15000-15000</f>
        <v>0</v>
      </c>
      <c r="G133" s="184">
        <f>15000-15000</f>
        <v>0</v>
      </c>
      <c r="H133" s="184">
        <f>15000-15000</f>
        <v>0</v>
      </c>
    </row>
    <row r="134" spans="1:8" ht="42" customHeight="1">
      <c r="A134" s="200" t="s">
        <v>351</v>
      </c>
      <c r="B134" s="182" t="s">
        <v>185</v>
      </c>
      <c r="C134" s="182" t="s">
        <v>285</v>
      </c>
      <c r="D134" s="207" t="s">
        <v>352</v>
      </c>
      <c r="E134" s="183"/>
      <c r="F134" s="184">
        <f aca="true" t="shared" si="16" ref="F134:H136">F135</f>
        <v>200000</v>
      </c>
      <c r="G134" s="184">
        <f t="shared" si="16"/>
        <v>200000</v>
      </c>
      <c r="H134" s="184">
        <f t="shared" si="16"/>
        <v>200000</v>
      </c>
    </row>
    <row r="135" spans="1:8" ht="15">
      <c r="A135" s="200" t="s">
        <v>353</v>
      </c>
      <c r="B135" s="182" t="s">
        <v>185</v>
      </c>
      <c r="C135" s="182" t="s">
        <v>285</v>
      </c>
      <c r="D135" s="207" t="s">
        <v>354</v>
      </c>
      <c r="E135" s="183"/>
      <c r="F135" s="184">
        <f t="shared" si="16"/>
        <v>200000</v>
      </c>
      <c r="G135" s="184">
        <f t="shared" si="16"/>
        <v>200000</v>
      </c>
      <c r="H135" s="184">
        <f t="shared" si="16"/>
        <v>200000</v>
      </c>
    </row>
    <row r="136" spans="1:8" ht="18.75" customHeight="1">
      <c r="A136" s="200" t="s">
        <v>355</v>
      </c>
      <c r="B136" s="182" t="s">
        <v>185</v>
      </c>
      <c r="C136" s="182" t="s">
        <v>285</v>
      </c>
      <c r="D136" s="207" t="s">
        <v>356</v>
      </c>
      <c r="E136" s="183"/>
      <c r="F136" s="184">
        <f t="shared" si="16"/>
        <v>200000</v>
      </c>
      <c r="G136" s="184">
        <f t="shared" si="16"/>
        <v>200000</v>
      </c>
      <c r="H136" s="184">
        <f t="shared" si="16"/>
        <v>200000</v>
      </c>
    </row>
    <row r="137" spans="1:8" ht="20.25" customHeight="1">
      <c r="A137" s="192" t="s">
        <v>206</v>
      </c>
      <c r="B137" s="182" t="s">
        <v>185</v>
      </c>
      <c r="C137" s="182" t="s">
        <v>285</v>
      </c>
      <c r="D137" s="207" t="s">
        <v>356</v>
      </c>
      <c r="E137" s="183" t="s">
        <v>207</v>
      </c>
      <c r="F137" s="184">
        <f>200000</f>
        <v>200000</v>
      </c>
      <c r="G137" s="184">
        <f>200000</f>
        <v>200000</v>
      </c>
      <c r="H137" s="184">
        <f>200000</f>
        <v>200000</v>
      </c>
    </row>
    <row r="138" spans="1:8" ht="15">
      <c r="A138" s="192" t="s">
        <v>237</v>
      </c>
      <c r="B138" s="182" t="s">
        <v>185</v>
      </c>
      <c r="C138" s="182" t="s">
        <v>285</v>
      </c>
      <c r="D138" s="182" t="s">
        <v>238</v>
      </c>
      <c r="E138" s="210"/>
      <c r="F138" s="184">
        <f aca="true" t="shared" si="17" ref="F138:H139">F139</f>
        <v>410800</v>
      </c>
      <c r="G138" s="184">
        <f t="shared" si="17"/>
        <v>0</v>
      </c>
      <c r="H138" s="184">
        <f t="shared" si="17"/>
        <v>0</v>
      </c>
    </row>
    <row r="139" spans="1:8" ht="15">
      <c r="A139" s="191" t="s">
        <v>239</v>
      </c>
      <c r="B139" s="182" t="s">
        <v>185</v>
      </c>
      <c r="C139" s="182" t="s">
        <v>285</v>
      </c>
      <c r="D139" s="182" t="s">
        <v>240</v>
      </c>
      <c r="E139" s="210"/>
      <c r="F139" s="184">
        <f t="shared" si="17"/>
        <v>410800</v>
      </c>
      <c r="G139" s="184">
        <f t="shared" si="17"/>
        <v>0</v>
      </c>
      <c r="H139" s="184">
        <f t="shared" si="17"/>
        <v>0</v>
      </c>
    </row>
    <row r="140" spans="1:8" ht="25.5">
      <c r="A140" s="191" t="s">
        <v>357</v>
      </c>
      <c r="B140" s="182" t="s">
        <v>185</v>
      </c>
      <c r="C140" s="182" t="s">
        <v>285</v>
      </c>
      <c r="D140" s="182" t="s">
        <v>358</v>
      </c>
      <c r="E140" s="210"/>
      <c r="F140" s="184">
        <f>F141+F142</f>
        <v>410800</v>
      </c>
      <c r="G140" s="184">
        <f>G141+G142</f>
        <v>0</v>
      </c>
      <c r="H140" s="184">
        <f>H141+H142</f>
        <v>0</v>
      </c>
    </row>
    <row r="141" spans="1:8" ht="36.75" customHeight="1">
      <c r="A141" s="192" t="s">
        <v>194</v>
      </c>
      <c r="B141" s="182" t="s">
        <v>185</v>
      </c>
      <c r="C141" s="182" t="s">
        <v>285</v>
      </c>
      <c r="D141" s="182" t="s">
        <v>358</v>
      </c>
      <c r="E141" s="210" t="s">
        <v>195</v>
      </c>
      <c r="F141" s="184">
        <v>410800</v>
      </c>
      <c r="G141" s="184">
        <v>0</v>
      </c>
      <c r="H141" s="184">
        <v>0</v>
      </c>
    </row>
    <row r="142" spans="1:8" ht="0.75" customHeight="1" hidden="1">
      <c r="A142" s="192" t="s">
        <v>206</v>
      </c>
      <c r="B142" s="182" t="s">
        <v>185</v>
      </c>
      <c r="C142" s="182" t="s">
        <v>285</v>
      </c>
      <c r="D142" s="182" t="s">
        <v>358</v>
      </c>
      <c r="E142" s="210" t="s">
        <v>207</v>
      </c>
      <c r="F142" s="184"/>
      <c r="G142" s="184"/>
      <c r="H142" s="184"/>
    </row>
    <row r="143" spans="1:8" ht="25.5">
      <c r="A143" s="192" t="s">
        <v>359</v>
      </c>
      <c r="B143" s="182" t="s">
        <v>185</v>
      </c>
      <c r="C143" s="182" t="s">
        <v>285</v>
      </c>
      <c r="D143" s="190" t="s">
        <v>360</v>
      </c>
      <c r="E143" s="210"/>
      <c r="F143" s="184">
        <f aca="true" t="shared" si="18" ref="F143:H144">F144</f>
        <v>3336199</v>
      </c>
      <c r="G143" s="184">
        <f t="shared" si="18"/>
        <v>1112857</v>
      </c>
      <c r="H143" s="184">
        <f t="shared" si="18"/>
        <v>3704349</v>
      </c>
    </row>
    <row r="144" spans="1:8" ht="17.25" customHeight="1">
      <c r="A144" s="192" t="s">
        <v>361</v>
      </c>
      <c r="B144" s="182" t="s">
        <v>185</v>
      </c>
      <c r="C144" s="182" t="s">
        <v>285</v>
      </c>
      <c r="D144" s="190" t="s">
        <v>362</v>
      </c>
      <c r="E144" s="210"/>
      <c r="F144" s="184">
        <f t="shared" si="18"/>
        <v>3336199</v>
      </c>
      <c r="G144" s="184">
        <f t="shared" si="18"/>
        <v>1112857</v>
      </c>
      <c r="H144" s="184">
        <f t="shared" si="18"/>
        <v>3704349</v>
      </c>
    </row>
    <row r="145" spans="1:8" ht="17.25" customHeight="1">
      <c r="A145" s="199" t="s">
        <v>355</v>
      </c>
      <c r="B145" s="182" t="s">
        <v>185</v>
      </c>
      <c r="C145" s="182" t="s">
        <v>285</v>
      </c>
      <c r="D145" s="190" t="s">
        <v>363</v>
      </c>
      <c r="E145" s="210"/>
      <c r="F145" s="184">
        <f>F146+F147</f>
        <v>3336199</v>
      </c>
      <c r="G145" s="184">
        <f>G146+G147</f>
        <v>1112857</v>
      </c>
      <c r="H145" s="184">
        <f>H146+H147</f>
        <v>3704349</v>
      </c>
    </row>
    <row r="146" spans="1:8" ht="17.25" customHeight="1">
      <c r="A146" s="192" t="s">
        <v>206</v>
      </c>
      <c r="B146" s="182" t="s">
        <v>185</v>
      </c>
      <c r="C146" s="182" t="s">
        <v>285</v>
      </c>
      <c r="D146" s="190" t="s">
        <v>363</v>
      </c>
      <c r="E146" s="210" t="s">
        <v>207</v>
      </c>
      <c r="F146" s="184">
        <v>386561</v>
      </c>
      <c r="G146" s="184">
        <v>111357</v>
      </c>
      <c r="H146" s="184">
        <v>102849</v>
      </c>
    </row>
    <row r="147" spans="1:8" ht="17.25" customHeight="1">
      <c r="A147" s="199" t="s">
        <v>274</v>
      </c>
      <c r="B147" s="182" t="s">
        <v>185</v>
      </c>
      <c r="C147" s="182" t="s">
        <v>285</v>
      </c>
      <c r="D147" s="190" t="s">
        <v>363</v>
      </c>
      <c r="E147" s="210" t="s">
        <v>275</v>
      </c>
      <c r="F147" s="184">
        <v>2949638</v>
      </c>
      <c r="G147" s="184">
        <v>1001500</v>
      </c>
      <c r="H147" s="184">
        <v>3601500</v>
      </c>
    </row>
    <row r="148" spans="1:8" ht="19.5" customHeight="1">
      <c r="A148" s="199" t="s">
        <v>246</v>
      </c>
      <c r="B148" s="215" t="s">
        <v>185</v>
      </c>
      <c r="C148" s="182" t="s">
        <v>285</v>
      </c>
      <c r="D148" s="204" t="s">
        <v>247</v>
      </c>
      <c r="E148" s="193"/>
      <c r="F148" s="184">
        <f>F153+F149</f>
        <v>12877500</v>
      </c>
      <c r="G148" s="184">
        <f>G153+G149</f>
        <v>11443533</v>
      </c>
      <c r="H148" s="184">
        <f>H153+H149</f>
        <v>11625607</v>
      </c>
    </row>
    <row r="149" spans="1:8" ht="15">
      <c r="A149" s="197" t="s">
        <v>248</v>
      </c>
      <c r="B149" s="182" t="s">
        <v>185</v>
      </c>
      <c r="C149" s="182" t="s">
        <v>285</v>
      </c>
      <c r="D149" s="182" t="s">
        <v>249</v>
      </c>
      <c r="E149" s="183"/>
      <c r="F149" s="184">
        <f>F150</f>
        <v>1086000</v>
      </c>
      <c r="G149" s="184">
        <f>G150</f>
        <v>1138000</v>
      </c>
      <c r="H149" s="184">
        <f>H150</f>
        <v>1180000</v>
      </c>
    </row>
    <row r="150" spans="1:8" ht="25.5">
      <c r="A150" s="191" t="s">
        <v>364</v>
      </c>
      <c r="B150" s="182" t="s">
        <v>185</v>
      </c>
      <c r="C150" s="182" t="s">
        <v>285</v>
      </c>
      <c r="D150" s="207" t="s">
        <v>365</v>
      </c>
      <c r="E150" s="210"/>
      <c r="F150" s="184">
        <f>F151+F152</f>
        <v>1086000</v>
      </c>
      <c r="G150" s="184">
        <f>G151+G152</f>
        <v>1138000</v>
      </c>
      <c r="H150" s="184">
        <f>H151+H152</f>
        <v>1180000</v>
      </c>
    </row>
    <row r="151" spans="1:8" ht="38.25">
      <c r="A151" s="192" t="s">
        <v>194</v>
      </c>
      <c r="B151" s="182" t="s">
        <v>185</v>
      </c>
      <c r="C151" s="182" t="s">
        <v>285</v>
      </c>
      <c r="D151" s="207" t="s">
        <v>365</v>
      </c>
      <c r="E151" s="210" t="s">
        <v>195</v>
      </c>
      <c r="F151" s="184">
        <v>964600</v>
      </c>
      <c r="G151" s="184">
        <v>964600</v>
      </c>
      <c r="H151" s="184">
        <v>964600</v>
      </c>
    </row>
    <row r="152" spans="1:8" ht="25.5">
      <c r="A152" s="192" t="s">
        <v>206</v>
      </c>
      <c r="B152" s="182" t="s">
        <v>185</v>
      </c>
      <c r="C152" s="182" t="s">
        <v>285</v>
      </c>
      <c r="D152" s="207" t="s">
        <v>365</v>
      </c>
      <c r="E152" s="210" t="s">
        <v>207</v>
      </c>
      <c r="F152" s="184">
        <v>121400</v>
      </c>
      <c r="G152" s="184">
        <v>173400</v>
      </c>
      <c r="H152" s="184">
        <v>215400</v>
      </c>
    </row>
    <row r="153" spans="1:8" ht="18" customHeight="1">
      <c r="A153" s="199" t="s">
        <v>253</v>
      </c>
      <c r="B153" s="182" t="s">
        <v>185</v>
      </c>
      <c r="C153" s="182" t="s">
        <v>285</v>
      </c>
      <c r="D153" s="182" t="s">
        <v>254</v>
      </c>
      <c r="E153" s="183"/>
      <c r="F153" s="184">
        <f>F154+F158</f>
        <v>11791500</v>
      </c>
      <c r="G153" s="184">
        <f>G154+G158</f>
        <v>10305533</v>
      </c>
      <c r="H153" s="184">
        <f>H154+H158</f>
        <v>10445607</v>
      </c>
    </row>
    <row r="154" spans="1:8" ht="18" customHeight="1">
      <c r="A154" s="199" t="s">
        <v>366</v>
      </c>
      <c r="B154" s="182" t="s">
        <v>185</v>
      </c>
      <c r="C154" s="182" t="s">
        <v>285</v>
      </c>
      <c r="D154" s="182" t="s">
        <v>367</v>
      </c>
      <c r="E154" s="183"/>
      <c r="F154" s="184">
        <f>F155+F156+F157</f>
        <v>11541500</v>
      </c>
      <c r="G154" s="184">
        <f>G155+G156+G157</f>
        <v>10055533</v>
      </c>
      <c r="H154" s="184">
        <f>H155+H156+H157</f>
        <v>10195607</v>
      </c>
    </row>
    <row r="155" spans="1:8" ht="43.5" customHeight="1">
      <c r="A155" s="192" t="s">
        <v>194</v>
      </c>
      <c r="B155" s="182" t="s">
        <v>185</v>
      </c>
      <c r="C155" s="182" t="s">
        <v>285</v>
      </c>
      <c r="D155" s="182" t="s">
        <v>367</v>
      </c>
      <c r="E155" s="193" t="s">
        <v>195</v>
      </c>
      <c r="F155" s="184">
        <f>8443500</f>
        <v>8443500</v>
      </c>
      <c r="G155" s="184">
        <f>6987533-30000</f>
        <v>6957533</v>
      </c>
      <c r="H155" s="184">
        <f>7127607-30000</f>
        <v>7097607</v>
      </c>
    </row>
    <row r="156" spans="1:8" ht="18" customHeight="1">
      <c r="A156" s="192" t="s">
        <v>206</v>
      </c>
      <c r="B156" s="182" t="s">
        <v>185</v>
      </c>
      <c r="C156" s="182" t="s">
        <v>285</v>
      </c>
      <c r="D156" s="182" t="s">
        <v>367</v>
      </c>
      <c r="E156" s="193" t="s">
        <v>207</v>
      </c>
      <c r="F156" s="184">
        <f>3048000</f>
        <v>3048000</v>
      </c>
      <c r="G156" s="184">
        <f>3048000</f>
        <v>3048000</v>
      </c>
      <c r="H156" s="184">
        <f>3048000</f>
        <v>3048000</v>
      </c>
    </row>
    <row r="157" spans="1:8" ht="15">
      <c r="A157" s="199" t="s">
        <v>274</v>
      </c>
      <c r="B157" s="182" t="s">
        <v>185</v>
      </c>
      <c r="C157" s="182" t="s">
        <v>285</v>
      </c>
      <c r="D157" s="182" t="s">
        <v>367</v>
      </c>
      <c r="E157" s="193" t="s">
        <v>275</v>
      </c>
      <c r="F157" s="184">
        <f>50000</f>
        <v>50000</v>
      </c>
      <c r="G157" s="184">
        <f>50000</f>
        <v>50000</v>
      </c>
      <c r="H157" s="184">
        <f>50000</f>
        <v>50000</v>
      </c>
    </row>
    <row r="158" spans="1:8" ht="20.25" customHeight="1">
      <c r="A158" s="211" t="s">
        <v>368</v>
      </c>
      <c r="B158" s="182" t="s">
        <v>185</v>
      </c>
      <c r="C158" s="182" t="s">
        <v>285</v>
      </c>
      <c r="D158" s="182" t="s">
        <v>369</v>
      </c>
      <c r="E158" s="193"/>
      <c r="F158" s="184">
        <f>F159</f>
        <v>250000</v>
      </c>
      <c r="G158" s="184">
        <f>G159</f>
        <v>250000</v>
      </c>
      <c r="H158" s="184">
        <f>H159</f>
        <v>250000</v>
      </c>
    </row>
    <row r="159" spans="1:8" ht="24.75" customHeight="1">
      <c r="A159" s="192" t="s">
        <v>206</v>
      </c>
      <c r="B159" s="182" t="s">
        <v>185</v>
      </c>
      <c r="C159" s="182" t="s">
        <v>285</v>
      </c>
      <c r="D159" s="182" t="s">
        <v>369</v>
      </c>
      <c r="E159" s="193" t="s">
        <v>207</v>
      </c>
      <c r="F159" s="184">
        <f>100000+150000</f>
        <v>250000</v>
      </c>
      <c r="G159" s="184">
        <f>100000+150000</f>
        <v>250000</v>
      </c>
      <c r="H159" s="184">
        <f>100000+150000</f>
        <v>250000</v>
      </c>
    </row>
    <row r="160" spans="1:8" ht="15" hidden="1">
      <c r="A160" s="192" t="s">
        <v>278</v>
      </c>
      <c r="B160" s="182" t="s">
        <v>185</v>
      </c>
      <c r="C160" s="182" t="s">
        <v>285</v>
      </c>
      <c r="D160" s="190" t="s">
        <v>279</v>
      </c>
      <c r="E160" s="193"/>
      <c r="F160" s="184">
        <f aca="true" t="shared" si="19" ref="F160:H162">F161</f>
        <v>0</v>
      </c>
      <c r="G160" s="184">
        <f t="shared" si="19"/>
        <v>0</v>
      </c>
      <c r="H160" s="184">
        <f t="shared" si="19"/>
        <v>0</v>
      </c>
    </row>
    <row r="161" spans="1:8" ht="15" hidden="1">
      <c r="A161" s="192" t="s">
        <v>276</v>
      </c>
      <c r="B161" s="182" t="s">
        <v>185</v>
      </c>
      <c r="C161" s="182" t="s">
        <v>285</v>
      </c>
      <c r="D161" s="190" t="s">
        <v>281</v>
      </c>
      <c r="E161" s="193"/>
      <c r="F161" s="184">
        <f t="shared" si="19"/>
        <v>0</v>
      </c>
      <c r="G161" s="184">
        <f t="shared" si="19"/>
        <v>0</v>
      </c>
      <c r="H161" s="184">
        <f t="shared" si="19"/>
        <v>0</v>
      </c>
    </row>
    <row r="162" spans="1:8" ht="15" hidden="1">
      <c r="A162" s="191" t="s">
        <v>282</v>
      </c>
      <c r="B162" s="182" t="s">
        <v>185</v>
      </c>
      <c r="C162" s="182" t="s">
        <v>285</v>
      </c>
      <c r="D162" s="190" t="s">
        <v>283</v>
      </c>
      <c r="E162" s="193"/>
      <c r="F162" s="184">
        <f t="shared" si="19"/>
        <v>0</v>
      </c>
      <c r="G162" s="184">
        <f t="shared" si="19"/>
        <v>0</v>
      </c>
      <c r="H162" s="184">
        <f t="shared" si="19"/>
        <v>0</v>
      </c>
    </row>
    <row r="163" spans="1:8" ht="15" hidden="1">
      <c r="A163" s="199" t="s">
        <v>244</v>
      </c>
      <c r="B163" s="182" t="s">
        <v>185</v>
      </c>
      <c r="C163" s="182" t="s">
        <v>285</v>
      </c>
      <c r="D163" s="190" t="s">
        <v>283</v>
      </c>
      <c r="E163" s="193" t="s">
        <v>245</v>
      </c>
      <c r="F163" s="184"/>
      <c r="G163" s="184"/>
      <c r="H163" s="184"/>
    </row>
    <row r="164" spans="1:8" ht="29.25" customHeight="1">
      <c r="A164" s="192" t="s">
        <v>370</v>
      </c>
      <c r="B164" s="182" t="s">
        <v>185</v>
      </c>
      <c r="C164" s="182" t="s">
        <v>285</v>
      </c>
      <c r="D164" s="204" t="s">
        <v>371</v>
      </c>
      <c r="E164" s="193"/>
      <c r="F164" s="184">
        <f aca="true" t="shared" si="20" ref="F164:H165">F165</f>
        <v>9408000</v>
      </c>
      <c r="G164" s="184">
        <f t="shared" si="20"/>
        <v>7852278</v>
      </c>
      <c r="H164" s="184">
        <f t="shared" si="20"/>
        <v>8001950</v>
      </c>
    </row>
    <row r="165" spans="1:8" ht="25.5">
      <c r="A165" s="199" t="s">
        <v>372</v>
      </c>
      <c r="B165" s="182" t="s">
        <v>185</v>
      </c>
      <c r="C165" s="182" t="s">
        <v>285</v>
      </c>
      <c r="D165" s="204" t="s">
        <v>373</v>
      </c>
      <c r="E165" s="193"/>
      <c r="F165" s="184">
        <f t="shared" si="20"/>
        <v>9408000</v>
      </c>
      <c r="G165" s="184">
        <f t="shared" si="20"/>
        <v>7852278</v>
      </c>
      <c r="H165" s="184">
        <f t="shared" si="20"/>
        <v>8001950</v>
      </c>
    </row>
    <row r="166" spans="1:8" ht="15">
      <c r="A166" s="199" t="s">
        <v>366</v>
      </c>
      <c r="B166" s="182" t="s">
        <v>185</v>
      </c>
      <c r="C166" s="182" t="s">
        <v>285</v>
      </c>
      <c r="D166" s="204" t="s">
        <v>374</v>
      </c>
      <c r="E166" s="193"/>
      <c r="F166" s="184">
        <f>F167+F168+F169</f>
        <v>9408000</v>
      </c>
      <c r="G166" s="184">
        <f>G167+G168+G169</f>
        <v>7852278</v>
      </c>
      <c r="H166" s="184">
        <f>H167+H168+H169</f>
        <v>8001950</v>
      </c>
    </row>
    <row r="167" spans="1:8" ht="38.25">
      <c r="A167" s="192" t="s">
        <v>194</v>
      </c>
      <c r="B167" s="182" t="s">
        <v>185</v>
      </c>
      <c r="C167" s="182" t="s">
        <v>285</v>
      </c>
      <c r="D167" s="204" t="s">
        <v>374</v>
      </c>
      <c r="E167" s="193" t="s">
        <v>195</v>
      </c>
      <c r="F167" s="184">
        <f>9022000</f>
        <v>9022000</v>
      </c>
      <c r="G167" s="184">
        <v>7466278</v>
      </c>
      <c r="H167" s="184">
        <v>7615950</v>
      </c>
    </row>
    <row r="168" spans="1:8" ht="24.75" customHeight="1">
      <c r="A168" s="192" t="s">
        <v>206</v>
      </c>
      <c r="B168" s="182" t="s">
        <v>185</v>
      </c>
      <c r="C168" s="182" t="s">
        <v>285</v>
      </c>
      <c r="D168" s="204" t="s">
        <v>374</v>
      </c>
      <c r="E168" s="193" t="s">
        <v>207</v>
      </c>
      <c r="F168" s="184">
        <f>481000-95000</f>
        <v>386000</v>
      </c>
      <c r="G168" s="184">
        <f>481000-95000</f>
        <v>386000</v>
      </c>
      <c r="H168" s="184">
        <f>481000-95000</f>
        <v>386000</v>
      </c>
    </row>
    <row r="169" spans="1:8" ht="15" hidden="1">
      <c r="A169" s="192" t="s">
        <v>274</v>
      </c>
      <c r="B169" s="182" t="s">
        <v>185</v>
      </c>
      <c r="C169" s="182" t="s">
        <v>285</v>
      </c>
      <c r="D169" s="204" t="s">
        <v>374</v>
      </c>
      <c r="E169" s="193" t="s">
        <v>275</v>
      </c>
      <c r="F169" s="184">
        <v>0</v>
      </c>
      <c r="G169" s="184">
        <v>0</v>
      </c>
      <c r="H169" s="184">
        <v>0</v>
      </c>
    </row>
    <row r="170" spans="1:8" ht="21.75" customHeight="1">
      <c r="A170" s="199" t="s">
        <v>375</v>
      </c>
      <c r="B170" s="182" t="s">
        <v>197</v>
      </c>
      <c r="C170" s="182" t="s">
        <v>376</v>
      </c>
      <c r="D170" s="204"/>
      <c r="E170" s="193"/>
      <c r="F170" s="184">
        <f>F171</f>
        <v>1625000</v>
      </c>
      <c r="G170" s="184">
        <f aca="true" t="shared" si="21" ref="F170:H172">G171</f>
        <v>1625000</v>
      </c>
      <c r="H170" s="184">
        <f t="shared" si="21"/>
        <v>1625000</v>
      </c>
    </row>
    <row r="171" spans="1:8" ht="28.5" customHeight="1">
      <c r="A171" s="199" t="s">
        <v>377</v>
      </c>
      <c r="B171" s="182" t="s">
        <v>197</v>
      </c>
      <c r="C171" s="182" t="s">
        <v>378</v>
      </c>
      <c r="D171" s="204"/>
      <c r="E171" s="193"/>
      <c r="F171" s="184">
        <f t="shared" si="21"/>
        <v>1625000</v>
      </c>
      <c r="G171" s="184">
        <f t="shared" si="21"/>
        <v>1625000</v>
      </c>
      <c r="H171" s="184">
        <f t="shared" si="21"/>
        <v>1625000</v>
      </c>
    </row>
    <row r="172" spans="1:8" ht="45" customHeight="1">
      <c r="A172" s="197" t="s">
        <v>379</v>
      </c>
      <c r="B172" s="182" t="s">
        <v>197</v>
      </c>
      <c r="C172" s="182" t="s">
        <v>378</v>
      </c>
      <c r="D172" s="207" t="s">
        <v>380</v>
      </c>
      <c r="E172" s="193"/>
      <c r="F172" s="184">
        <f t="shared" si="21"/>
        <v>1625000</v>
      </c>
      <c r="G172" s="184">
        <f t="shared" si="21"/>
        <v>1625000</v>
      </c>
      <c r="H172" s="184">
        <f t="shared" si="21"/>
        <v>1625000</v>
      </c>
    </row>
    <row r="173" spans="1:8" ht="73.5" customHeight="1">
      <c r="A173" s="200" t="s">
        <v>381</v>
      </c>
      <c r="B173" s="182" t="s">
        <v>197</v>
      </c>
      <c r="C173" s="182" t="s">
        <v>378</v>
      </c>
      <c r="D173" s="207" t="s">
        <v>382</v>
      </c>
      <c r="E173" s="193"/>
      <c r="F173" s="184">
        <f>F174+F177+F180</f>
        <v>1625000</v>
      </c>
      <c r="G173" s="184">
        <f>G174+G177+G180</f>
        <v>1625000</v>
      </c>
      <c r="H173" s="184">
        <f>H174+H177+H180</f>
        <v>1625000</v>
      </c>
    </row>
    <row r="174" spans="1:8" ht="25.5" hidden="1">
      <c r="A174" s="200" t="s">
        <v>383</v>
      </c>
      <c r="B174" s="182" t="s">
        <v>197</v>
      </c>
      <c r="C174" s="182" t="s">
        <v>378</v>
      </c>
      <c r="D174" s="207" t="s">
        <v>384</v>
      </c>
      <c r="E174" s="193"/>
      <c r="F174" s="184">
        <f aca="true" t="shared" si="22" ref="F174:H175">F175</f>
        <v>0</v>
      </c>
      <c r="G174" s="184">
        <f t="shared" si="22"/>
        <v>0</v>
      </c>
      <c r="H174" s="184">
        <f t="shared" si="22"/>
        <v>0</v>
      </c>
    </row>
    <row r="175" spans="1:8" ht="25.5" hidden="1">
      <c r="A175" s="192" t="s">
        <v>385</v>
      </c>
      <c r="B175" s="182" t="s">
        <v>197</v>
      </c>
      <c r="C175" s="182" t="s">
        <v>378</v>
      </c>
      <c r="D175" s="207" t="s">
        <v>386</v>
      </c>
      <c r="E175" s="193"/>
      <c r="F175" s="184">
        <f t="shared" si="22"/>
        <v>0</v>
      </c>
      <c r="G175" s="184">
        <f t="shared" si="22"/>
        <v>0</v>
      </c>
      <c r="H175" s="184">
        <f t="shared" si="22"/>
        <v>0</v>
      </c>
    </row>
    <row r="176" spans="1:8" ht="25.5" hidden="1">
      <c r="A176" s="192" t="s">
        <v>206</v>
      </c>
      <c r="B176" s="182" t="s">
        <v>197</v>
      </c>
      <c r="C176" s="182" t="s">
        <v>378</v>
      </c>
      <c r="D176" s="207" t="s">
        <v>386</v>
      </c>
      <c r="E176" s="193" t="s">
        <v>207</v>
      </c>
      <c r="F176" s="184"/>
      <c r="G176" s="184"/>
      <c r="H176" s="184"/>
    </row>
    <row r="177" spans="1:8" ht="53.25" customHeight="1">
      <c r="A177" s="196" t="s">
        <v>387</v>
      </c>
      <c r="B177" s="182" t="s">
        <v>197</v>
      </c>
      <c r="C177" s="182" t="s">
        <v>378</v>
      </c>
      <c r="D177" s="207" t="s">
        <v>388</v>
      </c>
      <c r="E177" s="193"/>
      <c r="F177" s="184">
        <f aca="true" t="shared" si="23" ref="F177:H178">F178</f>
        <v>51000</v>
      </c>
      <c r="G177" s="184">
        <f t="shared" si="23"/>
        <v>51000</v>
      </c>
      <c r="H177" s="184">
        <f t="shared" si="23"/>
        <v>51000</v>
      </c>
    </row>
    <row r="178" spans="1:8" ht="30.75" customHeight="1">
      <c r="A178" s="192" t="s">
        <v>385</v>
      </c>
      <c r="B178" s="182" t="s">
        <v>197</v>
      </c>
      <c r="C178" s="182" t="s">
        <v>378</v>
      </c>
      <c r="D178" s="207" t="s">
        <v>389</v>
      </c>
      <c r="E178" s="193"/>
      <c r="F178" s="184">
        <f t="shared" si="23"/>
        <v>51000</v>
      </c>
      <c r="G178" s="184">
        <f t="shared" si="23"/>
        <v>51000</v>
      </c>
      <c r="H178" s="184">
        <f t="shared" si="23"/>
        <v>51000</v>
      </c>
    </row>
    <row r="179" spans="1:8" ht="18.75" customHeight="1">
      <c r="A179" s="192" t="s">
        <v>206</v>
      </c>
      <c r="B179" s="182" t="s">
        <v>197</v>
      </c>
      <c r="C179" s="182" t="s">
        <v>378</v>
      </c>
      <c r="D179" s="207" t="s">
        <v>389</v>
      </c>
      <c r="E179" s="193" t="s">
        <v>207</v>
      </c>
      <c r="F179" s="184">
        <v>51000</v>
      </c>
      <c r="G179" s="184">
        <v>51000</v>
      </c>
      <c r="H179" s="184">
        <v>51000</v>
      </c>
    </row>
    <row r="180" spans="1:8" ht="48.75" customHeight="1">
      <c r="A180" s="196" t="s">
        <v>390</v>
      </c>
      <c r="B180" s="182" t="s">
        <v>197</v>
      </c>
      <c r="C180" s="182" t="s">
        <v>378</v>
      </c>
      <c r="D180" s="207" t="s">
        <v>391</v>
      </c>
      <c r="E180" s="193"/>
      <c r="F180" s="184">
        <f>F185+F181+F183</f>
        <v>1574000</v>
      </c>
      <c r="G180" s="184">
        <f>G185+G182+G184</f>
        <v>1574000</v>
      </c>
      <c r="H180" s="184">
        <f>H185+H182+H184</f>
        <v>1574000</v>
      </c>
    </row>
    <row r="181" spans="1:8" ht="37.5" customHeight="1" hidden="1">
      <c r="A181" s="196" t="s">
        <v>392</v>
      </c>
      <c r="B181" s="182" t="s">
        <v>197</v>
      </c>
      <c r="C181" s="182" t="s">
        <v>378</v>
      </c>
      <c r="D181" s="207" t="s">
        <v>393</v>
      </c>
      <c r="E181" s="193"/>
      <c r="F181" s="184">
        <f>F182</f>
        <v>0</v>
      </c>
      <c r="G181" s="184"/>
      <c r="H181" s="184"/>
    </row>
    <row r="182" spans="1:8" ht="28.5" customHeight="1" hidden="1">
      <c r="A182" s="192" t="s">
        <v>206</v>
      </c>
      <c r="B182" s="182" t="s">
        <v>197</v>
      </c>
      <c r="C182" s="182" t="s">
        <v>378</v>
      </c>
      <c r="D182" s="207" t="s">
        <v>393</v>
      </c>
      <c r="E182" s="193" t="s">
        <v>207</v>
      </c>
      <c r="F182" s="184"/>
      <c r="G182" s="184"/>
      <c r="H182" s="184"/>
    </row>
    <row r="183" spans="1:8" ht="37.5" customHeight="1" hidden="1">
      <c r="A183" s="196" t="s">
        <v>394</v>
      </c>
      <c r="B183" s="182" t="s">
        <v>197</v>
      </c>
      <c r="C183" s="182" t="s">
        <v>378</v>
      </c>
      <c r="D183" s="207" t="s">
        <v>395</v>
      </c>
      <c r="E183" s="193"/>
      <c r="F183" s="184">
        <f>F184</f>
        <v>0</v>
      </c>
      <c r="G183" s="184"/>
      <c r="H183" s="184"/>
    </row>
    <row r="184" spans="1:8" ht="30" customHeight="1" hidden="1">
      <c r="A184" s="192" t="s">
        <v>206</v>
      </c>
      <c r="B184" s="182" t="s">
        <v>197</v>
      </c>
      <c r="C184" s="182" t="s">
        <v>378</v>
      </c>
      <c r="D184" s="207" t="s">
        <v>395</v>
      </c>
      <c r="E184" s="193" t="s">
        <v>207</v>
      </c>
      <c r="F184" s="184"/>
      <c r="G184" s="184"/>
      <c r="H184" s="184"/>
    </row>
    <row r="185" spans="1:8" ht="33.75" customHeight="1">
      <c r="A185" s="192" t="s">
        <v>385</v>
      </c>
      <c r="B185" s="182" t="s">
        <v>197</v>
      </c>
      <c r="C185" s="182" t="s">
        <v>378</v>
      </c>
      <c r="D185" s="207" t="s">
        <v>396</v>
      </c>
      <c r="E185" s="193"/>
      <c r="F185" s="184">
        <f>F186</f>
        <v>1574000</v>
      </c>
      <c r="G185" s="184">
        <f>G186</f>
        <v>1574000</v>
      </c>
      <c r="H185" s="184">
        <f>H186</f>
        <v>1574000</v>
      </c>
    </row>
    <row r="186" spans="1:8" ht="18.75" customHeight="1">
      <c r="A186" s="192" t="s">
        <v>206</v>
      </c>
      <c r="B186" s="182" t="s">
        <v>197</v>
      </c>
      <c r="C186" s="182" t="s">
        <v>378</v>
      </c>
      <c r="D186" s="207" t="s">
        <v>396</v>
      </c>
      <c r="E186" s="193" t="s">
        <v>207</v>
      </c>
      <c r="F186" s="184">
        <f>1574000</f>
        <v>1574000</v>
      </c>
      <c r="G186" s="184">
        <f>1574000</f>
        <v>1574000</v>
      </c>
      <c r="H186" s="184">
        <f>1574000</f>
        <v>1574000</v>
      </c>
    </row>
    <row r="187" spans="1:8" ht="15.75" customHeight="1">
      <c r="A187" s="199" t="s">
        <v>397</v>
      </c>
      <c r="B187" s="182" t="s">
        <v>210</v>
      </c>
      <c r="C187" s="182"/>
      <c r="D187" s="182"/>
      <c r="E187" s="183"/>
      <c r="F187" s="184">
        <f>F188+F194+F224</f>
        <v>47900370</v>
      </c>
      <c r="G187" s="184">
        <f>G188+G194+G224</f>
        <v>31689593</v>
      </c>
      <c r="H187" s="184">
        <f>H188+H194+H224</f>
        <v>10761172</v>
      </c>
    </row>
    <row r="188" spans="1:8" ht="15">
      <c r="A188" s="199" t="s">
        <v>398</v>
      </c>
      <c r="B188" s="182" t="s">
        <v>210</v>
      </c>
      <c r="C188" s="182" t="s">
        <v>399</v>
      </c>
      <c r="D188" s="182"/>
      <c r="E188" s="183"/>
      <c r="F188" s="184">
        <f aca="true" t="shared" si="24" ref="F188:H192">F189</f>
        <v>2518000</v>
      </c>
      <c r="G188" s="184">
        <f t="shared" si="24"/>
        <v>2518000</v>
      </c>
      <c r="H188" s="184">
        <f t="shared" si="24"/>
        <v>2518000</v>
      </c>
    </row>
    <row r="189" spans="1:10" ht="41.25" customHeight="1">
      <c r="A189" s="209" t="s">
        <v>327</v>
      </c>
      <c r="B189" s="182" t="s">
        <v>210</v>
      </c>
      <c r="C189" s="182" t="s">
        <v>399</v>
      </c>
      <c r="D189" s="207" t="s">
        <v>328</v>
      </c>
      <c r="E189" s="183"/>
      <c r="F189" s="184">
        <f t="shared" si="24"/>
        <v>2518000</v>
      </c>
      <c r="G189" s="184">
        <f t="shared" si="24"/>
        <v>2518000</v>
      </c>
      <c r="H189" s="184">
        <f t="shared" si="24"/>
        <v>2518000</v>
      </c>
      <c r="J189" s="185"/>
    </row>
    <row r="190" spans="1:8" ht="56.25" customHeight="1">
      <c r="A190" s="211" t="s">
        <v>400</v>
      </c>
      <c r="B190" s="182" t="s">
        <v>210</v>
      </c>
      <c r="C190" s="182" t="s">
        <v>399</v>
      </c>
      <c r="D190" s="207" t="s">
        <v>401</v>
      </c>
      <c r="E190" s="183"/>
      <c r="F190" s="184">
        <f t="shared" si="24"/>
        <v>2518000</v>
      </c>
      <c r="G190" s="184">
        <f t="shared" si="24"/>
        <v>2518000</v>
      </c>
      <c r="H190" s="184">
        <f t="shared" si="24"/>
        <v>2518000</v>
      </c>
    </row>
    <row r="191" spans="1:8" ht="27.75" customHeight="1">
      <c r="A191" s="199" t="s">
        <v>402</v>
      </c>
      <c r="B191" s="182" t="s">
        <v>210</v>
      </c>
      <c r="C191" s="182" t="s">
        <v>399</v>
      </c>
      <c r="D191" s="207" t="s">
        <v>403</v>
      </c>
      <c r="E191" s="183"/>
      <c r="F191" s="184">
        <f t="shared" si="24"/>
        <v>2518000</v>
      </c>
      <c r="G191" s="184">
        <f t="shared" si="24"/>
        <v>2518000</v>
      </c>
      <c r="H191" s="184">
        <f t="shared" si="24"/>
        <v>2518000</v>
      </c>
    </row>
    <row r="192" spans="1:8" ht="15" customHeight="1">
      <c r="A192" s="199" t="s">
        <v>404</v>
      </c>
      <c r="B192" s="182" t="s">
        <v>210</v>
      </c>
      <c r="C192" s="182" t="s">
        <v>399</v>
      </c>
      <c r="D192" s="207" t="s">
        <v>405</v>
      </c>
      <c r="E192" s="183"/>
      <c r="F192" s="184">
        <f>F193</f>
        <v>2518000</v>
      </c>
      <c r="G192" s="184">
        <f t="shared" si="24"/>
        <v>2518000</v>
      </c>
      <c r="H192" s="184">
        <f t="shared" si="24"/>
        <v>2518000</v>
      </c>
    </row>
    <row r="193" spans="1:8" ht="25.5">
      <c r="A193" s="192" t="s">
        <v>206</v>
      </c>
      <c r="B193" s="182" t="s">
        <v>210</v>
      </c>
      <c r="C193" s="182" t="s">
        <v>399</v>
      </c>
      <c r="D193" s="207" t="s">
        <v>405</v>
      </c>
      <c r="E193" s="183" t="s">
        <v>207</v>
      </c>
      <c r="F193" s="184">
        <f>2518000</f>
        <v>2518000</v>
      </c>
      <c r="G193" s="184">
        <f>2518000</f>
        <v>2518000</v>
      </c>
      <c r="H193" s="184">
        <f>2518000</f>
        <v>2518000</v>
      </c>
    </row>
    <row r="194" spans="1:8" ht="15">
      <c r="A194" s="199" t="s">
        <v>406</v>
      </c>
      <c r="B194" s="182" t="s">
        <v>210</v>
      </c>
      <c r="C194" s="182" t="s">
        <v>407</v>
      </c>
      <c r="D194" s="182"/>
      <c r="E194" s="183"/>
      <c r="F194" s="184">
        <f aca="true" t="shared" si="25" ref="F194:H195">F195</f>
        <v>44006047</v>
      </c>
      <c r="G194" s="184">
        <f t="shared" si="25"/>
        <v>27856812</v>
      </c>
      <c r="H194" s="184">
        <f t="shared" si="25"/>
        <v>7258768</v>
      </c>
    </row>
    <row r="195" spans="1:8" ht="44.25" customHeight="1">
      <c r="A195" s="209" t="s">
        <v>327</v>
      </c>
      <c r="B195" s="182" t="s">
        <v>210</v>
      </c>
      <c r="C195" s="182" t="s">
        <v>407</v>
      </c>
      <c r="D195" s="207" t="s">
        <v>328</v>
      </c>
      <c r="E195" s="183"/>
      <c r="F195" s="184">
        <f t="shared" si="25"/>
        <v>44006047</v>
      </c>
      <c r="G195" s="184">
        <f t="shared" si="25"/>
        <v>27856812</v>
      </c>
      <c r="H195" s="184">
        <f t="shared" si="25"/>
        <v>7258768</v>
      </c>
    </row>
    <row r="196" spans="1:8" ht="58.5" customHeight="1">
      <c r="A196" s="211" t="s">
        <v>408</v>
      </c>
      <c r="B196" s="182" t="s">
        <v>210</v>
      </c>
      <c r="C196" s="182" t="s">
        <v>407</v>
      </c>
      <c r="D196" s="207" t="s">
        <v>409</v>
      </c>
      <c r="E196" s="183"/>
      <c r="F196" s="184">
        <f>F197+F211</f>
        <v>44006047</v>
      </c>
      <c r="G196" s="184">
        <f>G197+G211</f>
        <v>27856812</v>
      </c>
      <c r="H196" s="184">
        <f>H197+H211</f>
        <v>7258768</v>
      </c>
    </row>
    <row r="197" spans="1:8" ht="31.5" customHeight="1">
      <c r="A197" s="199" t="s">
        <v>410</v>
      </c>
      <c r="B197" s="182" t="s">
        <v>210</v>
      </c>
      <c r="C197" s="182" t="s">
        <v>407</v>
      </c>
      <c r="D197" s="207" t="s">
        <v>411</v>
      </c>
      <c r="E197" s="183"/>
      <c r="F197" s="184">
        <f>F200+F203+F208+F198+F206</f>
        <v>1580432</v>
      </c>
      <c r="G197" s="184">
        <f>G200+G203+G208+G198+G206</f>
        <v>2343944</v>
      </c>
      <c r="H197" s="184">
        <f>H200+H203+H208+H198+H206</f>
        <v>2758768</v>
      </c>
    </row>
    <row r="198" spans="1:8" ht="25.5" hidden="1">
      <c r="A198" s="199" t="s">
        <v>412</v>
      </c>
      <c r="B198" s="182" t="s">
        <v>210</v>
      </c>
      <c r="C198" s="182" t="s">
        <v>407</v>
      </c>
      <c r="D198" s="207" t="s">
        <v>413</v>
      </c>
      <c r="E198" s="183"/>
      <c r="F198" s="184">
        <f>F199</f>
        <v>0</v>
      </c>
      <c r="G198" s="184">
        <f>G199</f>
        <v>0</v>
      </c>
      <c r="H198" s="184">
        <f>H199</f>
        <v>0</v>
      </c>
    </row>
    <row r="199" spans="1:8" ht="15" hidden="1">
      <c r="A199" s="192" t="s">
        <v>252</v>
      </c>
      <c r="B199" s="182" t="s">
        <v>210</v>
      </c>
      <c r="C199" s="182" t="s">
        <v>407</v>
      </c>
      <c r="D199" s="207" t="s">
        <v>413</v>
      </c>
      <c r="E199" s="183" t="s">
        <v>207</v>
      </c>
      <c r="F199" s="184"/>
      <c r="G199" s="184"/>
      <c r="H199" s="184"/>
    </row>
    <row r="200" spans="1:8" ht="15" hidden="1">
      <c r="A200" s="192" t="s">
        <v>414</v>
      </c>
      <c r="B200" s="182" t="s">
        <v>210</v>
      </c>
      <c r="C200" s="182" t="s">
        <v>407</v>
      </c>
      <c r="D200" s="207" t="s">
        <v>415</v>
      </c>
      <c r="E200" s="183"/>
      <c r="F200" s="184">
        <f aca="true" t="shared" si="26" ref="F200:H201">F201</f>
        <v>0</v>
      </c>
      <c r="G200" s="184">
        <f t="shared" si="26"/>
        <v>0</v>
      </c>
      <c r="H200" s="184">
        <f t="shared" si="26"/>
        <v>0</v>
      </c>
    </row>
    <row r="201" spans="1:8" ht="25.5" hidden="1">
      <c r="A201" s="216" t="s">
        <v>416</v>
      </c>
      <c r="B201" s="182" t="s">
        <v>210</v>
      </c>
      <c r="C201" s="182" t="s">
        <v>407</v>
      </c>
      <c r="D201" s="207" t="s">
        <v>417</v>
      </c>
      <c r="E201" s="183"/>
      <c r="F201" s="184">
        <f t="shared" si="26"/>
        <v>0</v>
      </c>
      <c r="G201" s="184">
        <f t="shared" si="26"/>
        <v>0</v>
      </c>
      <c r="H201" s="184">
        <f t="shared" si="26"/>
        <v>0</v>
      </c>
    </row>
    <row r="202" spans="1:8" ht="15" hidden="1">
      <c r="A202" s="192" t="s">
        <v>252</v>
      </c>
      <c r="B202" s="182" t="s">
        <v>210</v>
      </c>
      <c r="C202" s="182" t="s">
        <v>407</v>
      </c>
      <c r="D202" s="207" t="s">
        <v>417</v>
      </c>
      <c r="E202" s="183" t="s">
        <v>207</v>
      </c>
      <c r="F202" s="184"/>
      <c r="G202" s="184"/>
      <c r="H202" s="184"/>
    </row>
    <row r="203" spans="1:8" ht="15" hidden="1">
      <c r="A203" s="192" t="s">
        <v>418</v>
      </c>
      <c r="B203" s="182" t="s">
        <v>210</v>
      </c>
      <c r="C203" s="182" t="s">
        <v>407</v>
      </c>
      <c r="D203" s="207" t="s">
        <v>419</v>
      </c>
      <c r="E203" s="183"/>
      <c r="F203" s="184">
        <f aca="true" t="shared" si="27" ref="F203:H204">F204</f>
        <v>0</v>
      </c>
      <c r="G203" s="184">
        <f t="shared" si="27"/>
        <v>0</v>
      </c>
      <c r="H203" s="184">
        <f t="shared" si="27"/>
        <v>0</v>
      </c>
    </row>
    <row r="204" spans="1:8" ht="35.25" customHeight="1" hidden="1">
      <c r="A204" s="217" t="s">
        <v>416</v>
      </c>
      <c r="B204" s="182" t="s">
        <v>210</v>
      </c>
      <c r="C204" s="182" t="s">
        <v>407</v>
      </c>
      <c r="D204" s="207" t="s">
        <v>420</v>
      </c>
      <c r="E204" s="183"/>
      <c r="F204" s="184">
        <f t="shared" si="27"/>
        <v>0</v>
      </c>
      <c r="G204" s="184">
        <f t="shared" si="27"/>
        <v>0</v>
      </c>
      <c r="H204" s="184">
        <f t="shared" si="27"/>
        <v>0</v>
      </c>
    </row>
    <row r="205" spans="1:8" ht="15" hidden="1">
      <c r="A205" s="192" t="s">
        <v>252</v>
      </c>
      <c r="B205" s="182" t="s">
        <v>210</v>
      </c>
      <c r="C205" s="182" t="s">
        <v>407</v>
      </c>
      <c r="D205" s="207" t="s">
        <v>420</v>
      </c>
      <c r="E205" s="183" t="s">
        <v>207</v>
      </c>
      <c r="F205" s="184"/>
      <c r="G205" s="184"/>
      <c r="H205" s="184"/>
    </row>
    <row r="206" spans="1:8" ht="29.25" customHeight="1" hidden="1">
      <c r="A206" s="199" t="s">
        <v>421</v>
      </c>
      <c r="B206" s="182" t="s">
        <v>210</v>
      </c>
      <c r="C206" s="182" t="s">
        <v>407</v>
      </c>
      <c r="D206" s="207" t="s">
        <v>422</v>
      </c>
      <c r="E206" s="183"/>
      <c r="F206" s="184">
        <f>F207</f>
        <v>0</v>
      </c>
      <c r="G206" s="184">
        <f>G207</f>
        <v>0</v>
      </c>
      <c r="H206" s="184">
        <f>H207</f>
        <v>0</v>
      </c>
    </row>
    <row r="207" spans="1:8" ht="21" customHeight="1" hidden="1">
      <c r="A207" s="192" t="s">
        <v>252</v>
      </c>
      <c r="B207" s="182" t="s">
        <v>210</v>
      </c>
      <c r="C207" s="182" t="s">
        <v>407</v>
      </c>
      <c r="D207" s="207" t="s">
        <v>422</v>
      </c>
      <c r="E207" s="183" t="s">
        <v>207</v>
      </c>
      <c r="F207" s="184"/>
      <c r="G207" s="184"/>
      <c r="H207" s="184"/>
    </row>
    <row r="208" spans="1:8" ht="25.5">
      <c r="A208" s="192" t="s">
        <v>423</v>
      </c>
      <c r="B208" s="182" t="s">
        <v>210</v>
      </c>
      <c r="C208" s="182" t="s">
        <v>407</v>
      </c>
      <c r="D208" s="207" t="s">
        <v>424</v>
      </c>
      <c r="E208" s="183"/>
      <c r="F208" s="184">
        <f>F209+F210</f>
        <v>1580432</v>
      </c>
      <c r="G208" s="184">
        <f>G209+G210</f>
        <v>2343944</v>
      </c>
      <c r="H208" s="184">
        <f>H209+H210</f>
        <v>2758768</v>
      </c>
    </row>
    <row r="209" spans="1:8" ht="18.75" customHeight="1">
      <c r="A209" s="192" t="s">
        <v>252</v>
      </c>
      <c r="B209" s="182" t="s">
        <v>210</v>
      </c>
      <c r="C209" s="182" t="s">
        <v>407</v>
      </c>
      <c r="D209" s="207" t="s">
        <v>424</v>
      </c>
      <c r="E209" s="183" t="s">
        <v>207</v>
      </c>
      <c r="F209" s="184">
        <f>1580432</f>
        <v>1580432</v>
      </c>
      <c r="G209" s="184">
        <f>6998777-4654833</f>
        <v>2343944</v>
      </c>
      <c r="H209" s="184">
        <f>7258768-4500000</f>
        <v>2758768</v>
      </c>
    </row>
    <row r="210" spans="1:8" ht="16.5" customHeight="1" hidden="1">
      <c r="A210" s="192" t="s">
        <v>274</v>
      </c>
      <c r="B210" s="182" t="s">
        <v>210</v>
      </c>
      <c r="C210" s="182" t="s">
        <v>407</v>
      </c>
      <c r="D210" s="207" t="s">
        <v>424</v>
      </c>
      <c r="E210" s="183" t="s">
        <v>275</v>
      </c>
      <c r="F210" s="184"/>
      <c r="G210" s="184"/>
      <c r="H210" s="184"/>
    </row>
    <row r="211" spans="1:8" ht="30.75" customHeight="1">
      <c r="A211" s="199" t="s">
        <v>425</v>
      </c>
      <c r="B211" s="182" t="s">
        <v>210</v>
      </c>
      <c r="C211" s="182" t="s">
        <v>407</v>
      </c>
      <c r="D211" s="207" t="s">
        <v>426</v>
      </c>
      <c r="E211" s="183"/>
      <c r="F211" s="184">
        <f>F212+F216+F214+F221+F219</f>
        <v>42425615</v>
      </c>
      <c r="G211" s="184">
        <f>G212+G216+G214+G221</f>
        <v>25512868</v>
      </c>
      <c r="H211" s="184">
        <f>H212+H216+H214+H221</f>
        <v>4500000</v>
      </c>
    </row>
    <row r="212" spans="1:8" ht="28.5" customHeight="1">
      <c r="A212" s="192" t="s">
        <v>427</v>
      </c>
      <c r="B212" s="182" t="s">
        <v>210</v>
      </c>
      <c r="C212" s="182" t="s">
        <v>407</v>
      </c>
      <c r="D212" s="207" t="s">
        <v>428</v>
      </c>
      <c r="E212" s="183"/>
      <c r="F212" s="184">
        <f>F213</f>
        <v>0</v>
      </c>
      <c r="G212" s="184">
        <f>G213</f>
        <v>4654833</v>
      </c>
      <c r="H212" s="184">
        <f>H213</f>
        <v>4500000</v>
      </c>
    </row>
    <row r="213" spans="1:8" ht="27.75" customHeight="1">
      <c r="A213" s="199" t="s">
        <v>429</v>
      </c>
      <c r="B213" s="182" t="s">
        <v>210</v>
      </c>
      <c r="C213" s="182" t="s">
        <v>407</v>
      </c>
      <c r="D213" s="207" t="s">
        <v>428</v>
      </c>
      <c r="E213" s="183" t="s">
        <v>430</v>
      </c>
      <c r="F213" s="184">
        <v>0</v>
      </c>
      <c r="G213" s="184">
        <f>4654833</f>
        <v>4654833</v>
      </c>
      <c r="H213" s="184">
        <v>4500000</v>
      </c>
    </row>
    <row r="214" spans="1:8" ht="33" customHeight="1">
      <c r="A214" s="199" t="s">
        <v>431</v>
      </c>
      <c r="B214" s="182" t="s">
        <v>210</v>
      </c>
      <c r="C214" s="182" t="s">
        <v>407</v>
      </c>
      <c r="D214" s="207" t="s">
        <v>432</v>
      </c>
      <c r="E214" s="183"/>
      <c r="F214" s="184">
        <f>F215</f>
        <v>34543432</v>
      </c>
      <c r="G214" s="184">
        <f>G215</f>
        <v>20649455</v>
      </c>
      <c r="H214" s="184">
        <f>H215</f>
        <v>0</v>
      </c>
    </row>
    <row r="215" spans="1:8" ht="29.25" customHeight="1">
      <c r="A215" s="199" t="s">
        <v>429</v>
      </c>
      <c r="B215" s="182" t="s">
        <v>210</v>
      </c>
      <c r="C215" s="182" t="s">
        <v>407</v>
      </c>
      <c r="D215" s="207" t="s">
        <v>432</v>
      </c>
      <c r="E215" s="183" t="s">
        <v>430</v>
      </c>
      <c r="F215" s="184">
        <v>34543432</v>
      </c>
      <c r="G215" s="184">
        <v>20649455</v>
      </c>
      <c r="H215" s="184">
        <v>0</v>
      </c>
    </row>
    <row r="216" spans="1:8" ht="54.75" customHeight="1">
      <c r="A216" s="199" t="s">
        <v>433</v>
      </c>
      <c r="B216" s="182" t="s">
        <v>210</v>
      </c>
      <c r="C216" s="182" t="s">
        <v>407</v>
      </c>
      <c r="D216" s="207" t="s">
        <v>434</v>
      </c>
      <c r="E216" s="183"/>
      <c r="F216" s="184">
        <f>F217</f>
        <v>348924</v>
      </c>
      <c r="G216" s="184">
        <f>G217</f>
        <v>208580</v>
      </c>
      <c r="H216" s="184">
        <f>H217</f>
        <v>0</v>
      </c>
    </row>
    <row r="217" spans="1:8" ht="15">
      <c r="A217" s="199" t="s">
        <v>429</v>
      </c>
      <c r="B217" s="182" t="s">
        <v>210</v>
      </c>
      <c r="C217" s="182" t="s">
        <v>407</v>
      </c>
      <c r="D217" s="207" t="s">
        <v>434</v>
      </c>
      <c r="E217" s="183" t="s">
        <v>430</v>
      </c>
      <c r="F217" s="184">
        <f>348924</f>
        <v>348924</v>
      </c>
      <c r="G217" s="184">
        <f>208580</f>
        <v>208580</v>
      </c>
      <c r="H217" s="184">
        <v>0</v>
      </c>
    </row>
    <row r="218" spans="1:8" ht="15">
      <c r="A218" s="192" t="s">
        <v>414</v>
      </c>
      <c r="B218" s="182" t="s">
        <v>210</v>
      </c>
      <c r="C218" s="182" t="s">
        <v>407</v>
      </c>
      <c r="D218" s="207" t="s">
        <v>435</v>
      </c>
      <c r="E218" s="183"/>
      <c r="F218" s="184">
        <f aca="true" t="shared" si="28" ref="F218:H219">F219</f>
        <v>2400000</v>
      </c>
      <c r="G218" s="184">
        <f t="shared" si="28"/>
        <v>0</v>
      </c>
      <c r="H218" s="184">
        <f t="shared" si="28"/>
        <v>0</v>
      </c>
    </row>
    <row r="219" spans="1:8" ht="82.5" customHeight="1">
      <c r="A219" s="218" t="s">
        <v>436</v>
      </c>
      <c r="B219" s="182" t="s">
        <v>210</v>
      </c>
      <c r="C219" s="182" t="s">
        <v>407</v>
      </c>
      <c r="D219" s="207" t="s">
        <v>437</v>
      </c>
      <c r="E219" s="183"/>
      <c r="F219" s="184">
        <f t="shared" si="28"/>
        <v>2400000</v>
      </c>
      <c r="G219" s="184">
        <f t="shared" si="28"/>
        <v>0</v>
      </c>
      <c r="H219" s="184">
        <f t="shared" si="28"/>
        <v>0</v>
      </c>
    </row>
    <row r="220" spans="1:8" ht="15">
      <c r="A220" s="199" t="s">
        <v>429</v>
      </c>
      <c r="B220" s="182" t="s">
        <v>210</v>
      </c>
      <c r="C220" s="182" t="s">
        <v>407</v>
      </c>
      <c r="D220" s="207" t="s">
        <v>437</v>
      </c>
      <c r="E220" s="183" t="s">
        <v>430</v>
      </c>
      <c r="F220" s="184">
        <v>2400000</v>
      </c>
      <c r="G220" s="184">
        <v>0</v>
      </c>
      <c r="H220" s="184">
        <v>0</v>
      </c>
    </row>
    <row r="221" spans="1:8" ht="15">
      <c r="A221" s="192" t="s">
        <v>418</v>
      </c>
      <c r="B221" s="182" t="s">
        <v>210</v>
      </c>
      <c r="C221" s="182" t="s">
        <v>407</v>
      </c>
      <c r="D221" s="207" t="s">
        <v>438</v>
      </c>
      <c r="E221" s="183"/>
      <c r="F221" s="184">
        <f aca="true" t="shared" si="29" ref="F221:H222">F222</f>
        <v>5133259</v>
      </c>
      <c r="G221" s="184">
        <f t="shared" si="29"/>
        <v>0</v>
      </c>
      <c r="H221" s="184">
        <f t="shared" si="29"/>
        <v>0</v>
      </c>
    </row>
    <row r="222" spans="1:8" ht="75.75" customHeight="1">
      <c r="A222" s="218" t="s">
        <v>436</v>
      </c>
      <c r="B222" s="182" t="s">
        <v>210</v>
      </c>
      <c r="C222" s="182" t="s">
        <v>407</v>
      </c>
      <c r="D222" s="207" t="s">
        <v>439</v>
      </c>
      <c r="E222" s="183"/>
      <c r="F222" s="184">
        <f t="shared" si="29"/>
        <v>5133259</v>
      </c>
      <c r="G222" s="184">
        <f t="shared" si="29"/>
        <v>0</v>
      </c>
      <c r="H222" s="184">
        <f t="shared" si="29"/>
        <v>0</v>
      </c>
    </row>
    <row r="223" spans="1:8" ht="15">
      <c r="A223" s="199" t="s">
        <v>429</v>
      </c>
      <c r="B223" s="182" t="s">
        <v>210</v>
      </c>
      <c r="C223" s="182" t="s">
        <v>407</v>
      </c>
      <c r="D223" s="207" t="s">
        <v>439</v>
      </c>
      <c r="E223" s="183" t="s">
        <v>430</v>
      </c>
      <c r="F223" s="184">
        <f>5133259</f>
        <v>5133259</v>
      </c>
      <c r="G223" s="184">
        <v>0</v>
      </c>
      <c r="H223" s="184">
        <v>0</v>
      </c>
    </row>
    <row r="224" spans="1:8" ht="20.25" customHeight="1">
      <c r="A224" s="199" t="s">
        <v>440</v>
      </c>
      <c r="B224" s="182" t="s">
        <v>210</v>
      </c>
      <c r="C224" s="182" t="s">
        <v>441</v>
      </c>
      <c r="D224" s="182"/>
      <c r="E224" s="183"/>
      <c r="F224" s="184">
        <f>F225+F237+F248</f>
        <v>1376323</v>
      </c>
      <c r="G224" s="184">
        <f>G225+G237+G248</f>
        <v>1314781</v>
      </c>
      <c r="H224" s="184">
        <f>H225+H237+H248</f>
        <v>984404</v>
      </c>
    </row>
    <row r="225" spans="1:8" ht="41.25" customHeight="1">
      <c r="A225" s="209" t="s">
        <v>442</v>
      </c>
      <c r="B225" s="182" t="s">
        <v>210</v>
      </c>
      <c r="C225" s="182" t="s">
        <v>441</v>
      </c>
      <c r="D225" s="182" t="s">
        <v>443</v>
      </c>
      <c r="E225" s="183"/>
      <c r="F225" s="184">
        <f aca="true" t="shared" si="30" ref="F225:H226">F226</f>
        <v>200000</v>
      </c>
      <c r="G225" s="184">
        <f t="shared" si="30"/>
        <v>200000</v>
      </c>
      <c r="H225" s="184">
        <f t="shared" si="30"/>
        <v>200000</v>
      </c>
    </row>
    <row r="226" spans="1:8" ht="53.25" customHeight="1">
      <c r="A226" s="213" t="s">
        <v>444</v>
      </c>
      <c r="B226" s="182" t="s">
        <v>210</v>
      </c>
      <c r="C226" s="182" t="s">
        <v>441</v>
      </c>
      <c r="D226" s="182" t="s">
        <v>445</v>
      </c>
      <c r="E226" s="183"/>
      <c r="F226" s="184">
        <f t="shared" si="30"/>
        <v>200000</v>
      </c>
      <c r="G226" s="184">
        <f t="shared" si="30"/>
        <v>200000</v>
      </c>
      <c r="H226" s="184">
        <f t="shared" si="30"/>
        <v>200000</v>
      </c>
    </row>
    <row r="227" spans="1:8" ht="44.25" customHeight="1">
      <c r="A227" s="199" t="s">
        <v>446</v>
      </c>
      <c r="B227" s="182" t="s">
        <v>210</v>
      </c>
      <c r="C227" s="182" t="s">
        <v>441</v>
      </c>
      <c r="D227" s="182" t="s">
        <v>447</v>
      </c>
      <c r="E227" s="183"/>
      <c r="F227" s="184">
        <f>F228+F230</f>
        <v>200000</v>
      </c>
      <c r="G227" s="184">
        <f>G228+G230</f>
        <v>200000</v>
      </c>
      <c r="H227" s="184">
        <f>H228+H230</f>
        <v>200000</v>
      </c>
    </row>
    <row r="228" spans="1:8" ht="15" hidden="1">
      <c r="A228" s="191" t="s">
        <v>448</v>
      </c>
      <c r="B228" s="182" t="s">
        <v>210</v>
      </c>
      <c r="C228" s="182" t="s">
        <v>441</v>
      </c>
      <c r="D228" s="182" t="s">
        <v>449</v>
      </c>
      <c r="E228" s="183"/>
      <c r="F228" s="184">
        <f>F229</f>
        <v>0</v>
      </c>
      <c r="G228" s="184">
        <f>G229</f>
        <v>0</v>
      </c>
      <c r="H228" s="184">
        <f>H229</f>
        <v>0</v>
      </c>
    </row>
    <row r="229" spans="1:8" ht="25.5" hidden="1">
      <c r="A229" s="192" t="s">
        <v>206</v>
      </c>
      <c r="B229" s="182" t="s">
        <v>210</v>
      </c>
      <c r="C229" s="182" t="s">
        <v>441</v>
      </c>
      <c r="D229" s="182" t="s">
        <v>449</v>
      </c>
      <c r="E229" s="183" t="s">
        <v>207</v>
      </c>
      <c r="F229" s="184"/>
      <c r="G229" s="184"/>
      <c r="H229" s="184"/>
    </row>
    <row r="230" spans="1:8" ht="15">
      <c r="A230" s="191" t="s">
        <v>450</v>
      </c>
      <c r="B230" s="182" t="s">
        <v>210</v>
      </c>
      <c r="C230" s="182" t="s">
        <v>441</v>
      </c>
      <c r="D230" s="182" t="s">
        <v>451</v>
      </c>
      <c r="E230" s="183"/>
      <c r="F230" s="184">
        <f>F231</f>
        <v>200000</v>
      </c>
      <c r="G230" s="184">
        <f>G231</f>
        <v>200000</v>
      </c>
      <c r="H230" s="184">
        <f>H231</f>
        <v>200000</v>
      </c>
    </row>
    <row r="231" spans="1:8" ht="22.5" customHeight="1">
      <c r="A231" s="192" t="s">
        <v>206</v>
      </c>
      <c r="B231" s="182" t="s">
        <v>210</v>
      </c>
      <c r="C231" s="182" t="s">
        <v>441</v>
      </c>
      <c r="D231" s="182" t="s">
        <v>451</v>
      </c>
      <c r="E231" s="183" t="s">
        <v>207</v>
      </c>
      <c r="F231" s="184">
        <v>200000</v>
      </c>
      <c r="G231" s="184">
        <v>200000</v>
      </c>
      <c r="H231" s="184">
        <v>200000</v>
      </c>
    </row>
    <row r="232" spans="1:8" ht="38.25" hidden="1">
      <c r="A232" s="209" t="s">
        <v>452</v>
      </c>
      <c r="B232" s="182" t="s">
        <v>210</v>
      </c>
      <c r="C232" s="182" t="s">
        <v>441</v>
      </c>
      <c r="D232" s="219" t="s">
        <v>310</v>
      </c>
      <c r="E232" s="183"/>
      <c r="F232" s="184">
        <f aca="true" t="shared" si="31" ref="F232:H235">F233</f>
        <v>0</v>
      </c>
      <c r="G232" s="184">
        <f t="shared" si="31"/>
        <v>0</v>
      </c>
      <c r="H232" s="184">
        <f t="shared" si="31"/>
        <v>0</v>
      </c>
    </row>
    <row r="233" spans="1:8" ht="63.75" hidden="1">
      <c r="A233" s="211" t="s">
        <v>453</v>
      </c>
      <c r="B233" s="182" t="s">
        <v>210</v>
      </c>
      <c r="C233" s="182" t="s">
        <v>441</v>
      </c>
      <c r="D233" s="219" t="s">
        <v>312</v>
      </c>
      <c r="E233" s="183"/>
      <c r="F233" s="184">
        <f t="shared" si="31"/>
        <v>0</v>
      </c>
      <c r="G233" s="184">
        <f t="shared" si="31"/>
        <v>0</v>
      </c>
      <c r="H233" s="184">
        <f t="shared" si="31"/>
        <v>0</v>
      </c>
    </row>
    <row r="234" spans="1:8" ht="25.5" hidden="1">
      <c r="A234" s="199" t="s">
        <v>454</v>
      </c>
      <c r="B234" s="182" t="s">
        <v>210</v>
      </c>
      <c r="C234" s="182" t="s">
        <v>441</v>
      </c>
      <c r="D234" s="219" t="s">
        <v>314</v>
      </c>
      <c r="E234" s="183"/>
      <c r="F234" s="184">
        <f t="shared" si="31"/>
        <v>0</v>
      </c>
      <c r="G234" s="184">
        <f t="shared" si="31"/>
        <v>0</v>
      </c>
      <c r="H234" s="184">
        <f t="shared" si="31"/>
        <v>0</v>
      </c>
    </row>
    <row r="235" spans="1:8" ht="15.75" hidden="1">
      <c r="A235" s="197" t="s">
        <v>315</v>
      </c>
      <c r="B235" s="182" t="s">
        <v>210</v>
      </c>
      <c r="C235" s="182" t="s">
        <v>441</v>
      </c>
      <c r="D235" s="219" t="s">
        <v>316</v>
      </c>
      <c r="E235" s="183"/>
      <c r="F235" s="184">
        <f t="shared" si="31"/>
        <v>0</v>
      </c>
      <c r="G235" s="184">
        <f t="shared" si="31"/>
        <v>0</v>
      </c>
      <c r="H235" s="184">
        <f t="shared" si="31"/>
        <v>0</v>
      </c>
    </row>
    <row r="236" spans="1:8" ht="25.5" hidden="1">
      <c r="A236" s="192" t="s">
        <v>206</v>
      </c>
      <c r="B236" s="182" t="s">
        <v>210</v>
      </c>
      <c r="C236" s="182" t="s">
        <v>441</v>
      </c>
      <c r="D236" s="219" t="s">
        <v>316</v>
      </c>
      <c r="E236" s="183" t="s">
        <v>207</v>
      </c>
      <c r="F236" s="184"/>
      <c r="G236" s="184"/>
      <c r="H236" s="184"/>
    </row>
    <row r="237" spans="1:8" ht="42.75" customHeight="1">
      <c r="A237" s="209" t="s">
        <v>455</v>
      </c>
      <c r="B237" s="182" t="s">
        <v>210</v>
      </c>
      <c r="C237" s="182" t="s">
        <v>441</v>
      </c>
      <c r="D237" s="215" t="s">
        <v>456</v>
      </c>
      <c r="E237" s="183"/>
      <c r="F237" s="184">
        <f aca="true" t="shared" si="32" ref="F237:H238">F238</f>
        <v>1156323</v>
      </c>
      <c r="G237" s="184">
        <f t="shared" si="32"/>
        <v>1094781</v>
      </c>
      <c r="H237" s="184">
        <f t="shared" si="32"/>
        <v>764404</v>
      </c>
    </row>
    <row r="238" spans="1:8" ht="54.75" customHeight="1">
      <c r="A238" s="211" t="s">
        <v>457</v>
      </c>
      <c r="B238" s="182" t="s">
        <v>210</v>
      </c>
      <c r="C238" s="182" t="s">
        <v>441</v>
      </c>
      <c r="D238" s="215" t="s">
        <v>458</v>
      </c>
      <c r="E238" s="183"/>
      <c r="F238" s="184">
        <f t="shared" si="32"/>
        <v>1156323</v>
      </c>
      <c r="G238" s="184">
        <f t="shared" si="32"/>
        <v>1094781</v>
      </c>
      <c r="H238" s="184">
        <f t="shared" si="32"/>
        <v>764404</v>
      </c>
    </row>
    <row r="239" spans="1:8" ht="35.25" customHeight="1">
      <c r="A239" s="199" t="s">
        <v>459</v>
      </c>
      <c r="B239" s="182" t="s">
        <v>210</v>
      </c>
      <c r="C239" s="182" t="s">
        <v>441</v>
      </c>
      <c r="D239" s="204" t="s">
        <v>460</v>
      </c>
      <c r="E239" s="193"/>
      <c r="F239" s="184">
        <f>F246+F240+F244+F242</f>
        <v>1156323</v>
      </c>
      <c r="G239" s="184">
        <f>G246+G240+G244+G242</f>
        <v>1094781</v>
      </c>
      <c r="H239" s="184">
        <f>H246+H240+H244+H242</f>
        <v>764404</v>
      </c>
    </row>
    <row r="240" spans="1:8" ht="46.5" customHeight="1">
      <c r="A240" s="199" t="s">
        <v>461</v>
      </c>
      <c r="B240" s="182" t="s">
        <v>210</v>
      </c>
      <c r="C240" s="182" t="s">
        <v>441</v>
      </c>
      <c r="D240" s="204" t="s">
        <v>462</v>
      </c>
      <c r="E240" s="193"/>
      <c r="F240" s="184">
        <f>F241</f>
        <v>809426</v>
      </c>
      <c r="G240" s="184">
        <f>G241</f>
        <v>766347</v>
      </c>
      <c r="H240" s="184">
        <f>H241</f>
        <v>535083</v>
      </c>
    </row>
    <row r="241" spans="1:8" ht="31.5" customHeight="1">
      <c r="A241" s="192" t="s">
        <v>206</v>
      </c>
      <c r="B241" s="182" t="s">
        <v>210</v>
      </c>
      <c r="C241" s="182" t="s">
        <v>441</v>
      </c>
      <c r="D241" s="204" t="s">
        <v>462</v>
      </c>
      <c r="E241" s="193" t="s">
        <v>207</v>
      </c>
      <c r="F241" s="184">
        <v>809426</v>
      </c>
      <c r="G241" s="184">
        <v>766347</v>
      </c>
      <c r="H241" s="184">
        <v>535083</v>
      </c>
    </row>
    <row r="242" spans="1:8" ht="25.5" hidden="1">
      <c r="A242" s="192" t="s">
        <v>463</v>
      </c>
      <c r="B242" s="182" t="s">
        <v>210</v>
      </c>
      <c r="C242" s="182" t="s">
        <v>441</v>
      </c>
      <c r="D242" s="204" t="s">
        <v>464</v>
      </c>
      <c r="E242" s="193"/>
      <c r="F242" s="184">
        <f>F243</f>
        <v>0</v>
      </c>
      <c r="G242" s="184">
        <f>G243</f>
        <v>0</v>
      </c>
      <c r="H242" s="184">
        <f>H243</f>
        <v>0</v>
      </c>
    </row>
    <row r="243" spans="1:8" ht="25.5" hidden="1">
      <c r="A243" s="192" t="s">
        <v>206</v>
      </c>
      <c r="B243" s="182" t="s">
        <v>210</v>
      </c>
      <c r="C243" s="182" t="s">
        <v>441</v>
      </c>
      <c r="D243" s="204" t="s">
        <v>464</v>
      </c>
      <c r="E243" s="193" t="s">
        <v>207</v>
      </c>
      <c r="F243" s="184"/>
      <c r="G243" s="184"/>
      <c r="H243" s="184"/>
    </row>
    <row r="244" spans="1:8" ht="44.25" customHeight="1">
      <c r="A244" s="199" t="s">
        <v>465</v>
      </c>
      <c r="B244" s="182" t="s">
        <v>210</v>
      </c>
      <c r="C244" s="182" t="s">
        <v>441</v>
      </c>
      <c r="D244" s="204" t="s">
        <v>466</v>
      </c>
      <c r="E244" s="193"/>
      <c r="F244" s="184">
        <f>F245</f>
        <v>346897</v>
      </c>
      <c r="G244" s="184">
        <f>G245</f>
        <v>328434</v>
      </c>
      <c r="H244" s="184">
        <f>H245</f>
        <v>229321</v>
      </c>
    </row>
    <row r="245" spans="1:8" ht="17.25" customHeight="1">
      <c r="A245" s="192" t="s">
        <v>206</v>
      </c>
      <c r="B245" s="182" t="s">
        <v>210</v>
      </c>
      <c r="C245" s="182" t="s">
        <v>441</v>
      </c>
      <c r="D245" s="204" t="s">
        <v>466</v>
      </c>
      <c r="E245" s="193" t="s">
        <v>207</v>
      </c>
      <c r="F245" s="184">
        <f>346897</f>
        <v>346897</v>
      </c>
      <c r="G245" s="184">
        <f>328434</f>
        <v>328434</v>
      </c>
      <c r="H245" s="184">
        <v>229321</v>
      </c>
    </row>
    <row r="246" spans="1:8" ht="25.5" hidden="1">
      <c r="A246" s="220" t="s">
        <v>467</v>
      </c>
      <c r="B246" s="182" t="s">
        <v>210</v>
      </c>
      <c r="C246" s="182" t="s">
        <v>441</v>
      </c>
      <c r="D246" s="204" t="s">
        <v>464</v>
      </c>
      <c r="E246" s="193"/>
      <c r="F246" s="184">
        <f>F247</f>
        <v>0</v>
      </c>
      <c r="G246" s="184">
        <f>G247</f>
        <v>0</v>
      </c>
      <c r="H246" s="184">
        <f>H247</f>
        <v>0</v>
      </c>
    </row>
    <row r="247" spans="1:8" ht="23.25" customHeight="1" hidden="1">
      <c r="A247" s="192" t="s">
        <v>206</v>
      </c>
      <c r="B247" s="182" t="s">
        <v>210</v>
      </c>
      <c r="C247" s="182" t="s">
        <v>441</v>
      </c>
      <c r="D247" s="204" t="s">
        <v>464</v>
      </c>
      <c r="E247" s="193" t="s">
        <v>207</v>
      </c>
      <c r="F247" s="184"/>
      <c r="G247" s="184"/>
      <c r="H247" s="184"/>
    </row>
    <row r="248" spans="1:8" ht="25.5">
      <c r="A248" s="211" t="s">
        <v>468</v>
      </c>
      <c r="B248" s="182" t="s">
        <v>210</v>
      </c>
      <c r="C248" s="182" t="s">
        <v>441</v>
      </c>
      <c r="D248" s="182" t="s">
        <v>469</v>
      </c>
      <c r="E248" s="193"/>
      <c r="F248" s="184">
        <f>F249+F253</f>
        <v>20000</v>
      </c>
      <c r="G248" s="184">
        <f>G249+G253</f>
        <v>20000</v>
      </c>
      <c r="H248" s="184">
        <f>H249+H253</f>
        <v>20000</v>
      </c>
    </row>
    <row r="249" spans="1:8" ht="65.25" customHeight="1">
      <c r="A249" s="213" t="s">
        <v>470</v>
      </c>
      <c r="B249" s="182" t="s">
        <v>210</v>
      </c>
      <c r="C249" s="182" t="s">
        <v>441</v>
      </c>
      <c r="D249" s="182" t="s">
        <v>471</v>
      </c>
      <c r="E249" s="193"/>
      <c r="F249" s="184">
        <f aca="true" t="shared" si="33" ref="F249:H251">F250</f>
        <v>20000</v>
      </c>
      <c r="G249" s="184">
        <f t="shared" si="33"/>
        <v>20000</v>
      </c>
      <c r="H249" s="184">
        <f t="shared" si="33"/>
        <v>20000</v>
      </c>
    </row>
    <row r="250" spans="1:8" ht="21" customHeight="1">
      <c r="A250" s="197" t="s">
        <v>472</v>
      </c>
      <c r="B250" s="182" t="s">
        <v>210</v>
      </c>
      <c r="C250" s="182" t="s">
        <v>441</v>
      </c>
      <c r="D250" s="182" t="s">
        <v>473</v>
      </c>
      <c r="E250" s="193"/>
      <c r="F250" s="184">
        <f t="shared" si="33"/>
        <v>20000</v>
      </c>
      <c r="G250" s="184">
        <f t="shared" si="33"/>
        <v>20000</v>
      </c>
      <c r="H250" s="184">
        <f t="shared" si="33"/>
        <v>20000</v>
      </c>
    </row>
    <row r="251" spans="1:8" ht="30.75" customHeight="1">
      <c r="A251" s="191" t="s">
        <v>474</v>
      </c>
      <c r="B251" s="182" t="s">
        <v>210</v>
      </c>
      <c r="C251" s="182" t="s">
        <v>441</v>
      </c>
      <c r="D251" s="182" t="s">
        <v>475</v>
      </c>
      <c r="E251" s="193"/>
      <c r="F251" s="184">
        <f t="shared" si="33"/>
        <v>20000</v>
      </c>
      <c r="G251" s="184">
        <f t="shared" si="33"/>
        <v>20000</v>
      </c>
      <c r="H251" s="184">
        <f t="shared" si="33"/>
        <v>20000</v>
      </c>
    </row>
    <row r="252" spans="1:8" ht="17.25" customHeight="1">
      <c r="A252" s="192" t="s">
        <v>206</v>
      </c>
      <c r="B252" s="182" t="s">
        <v>210</v>
      </c>
      <c r="C252" s="182" t="s">
        <v>441</v>
      </c>
      <c r="D252" s="182" t="s">
        <v>475</v>
      </c>
      <c r="E252" s="193" t="s">
        <v>207</v>
      </c>
      <c r="F252" s="184">
        <f>20000</f>
        <v>20000</v>
      </c>
      <c r="G252" s="184">
        <f>20000</f>
        <v>20000</v>
      </c>
      <c r="H252" s="184">
        <f>20000</f>
        <v>20000</v>
      </c>
    </row>
    <row r="253" spans="1:8" ht="51" hidden="1">
      <c r="A253" s="197" t="s">
        <v>476</v>
      </c>
      <c r="B253" s="182" t="s">
        <v>210</v>
      </c>
      <c r="C253" s="182" t="s">
        <v>441</v>
      </c>
      <c r="D253" s="182" t="s">
        <v>477</v>
      </c>
      <c r="E253" s="193"/>
      <c r="F253" s="184">
        <f aca="true" t="shared" si="34" ref="F253:H255">F254</f>
        <v>0</v>
      </c>
      <c r="G253" s="184">
        <f t="shared" si="34"/>
        <v>0</v>
      </c>
      <c r="H253" s="184">
        <f t="shared" si="34"/>
        <v>0</v>
      </c>
    </row>
    <row r="254" spans="1:8" ht="25.5" hidden="1">
      <c r="A254" s="197" t="s">
        <v>478</v>
      </c>
      <c r="B254" s="182" t="s">
        <v>210</v>
      </c>
      <c r="C254" s="182" t="s">
        <v>441</v>
      </c>
      <c r="D254" s="182" t="s">
        <v>479</v>
      </c>
      <c r="E254" s="193"/>
      <c r="F254" s="184">
        <f t="shared" si="34"/>
        <v>0</v>
      </c>
      <c r="G254" s="184">
        <f t="shared" si="34"/>
        <v>0</v>
      </c>
      <c r="H254" s="184">
        <f t="shared" si="34"/>
        <v>0</v>
      </c>
    </row>
    <row r="255" spans="1:8" ht="25.5" hidden="1">
      <c r="A255" s="192" t="s">
        <v>480</v>
      </c>
      <c r="B255" s="182" t="s">
        <v>210</v>
      </c>
      <c r="C255" s="182" t="s">
        <v>441</v>
      </c>
      <c r="D255" s="182" t="s">
        <v>481</v>
      </c>
      <c r="E255" s="193"/>
      <c r="F255" s="184">
        <f t="shared" si="34"/>
        <v>0</v>
      </c>
      <c r="G255" s="184">
        <f t="shared" si="34"/>
        <v>0</v>
      </c>
      <c r="H255" s="184">
        <f t="shared" si="34"/>
        <v>0</v>
      </c>
    </row>
    <row r="256" spans="1:8" ht="15" hidden="1">
      <c r="A256" s="192" t="s">
        <v>274</v>
      </c>
      <c r="B256" s="182" t="s">
        <v>210</v>
      </c>
      <c r="C256" s="182" t="s">
        <v>441</v>
      </c>
      <c r="D256" s="182" t="s">
        <v>481</v>
      </c>
      <c r="E256" s="193" t="s">
        <v>275</v>
      </c>
      <c r="F256" s="184"/>
      <c r="G256" s="184"/>
      <c r="H256" s="184"/>
    </row>
    <row r="257" spans="1:8" ht="15">
      <c r="A257" s="192" t="s">
        <v>482</v>
      </c>
      <c r="B257" s="182" t="s">
        <v>258</v>
      </c>
      <c r="C257" s="182"/>
      <c r="D257" s="182"/>
      <c r="E257" s="193"/>
      <c r="F257" s="184">
        <f>F264+F258</f>
        <v>49000</v>
      </c>
      <c r="G257" s="184">
        <f>G264+G258</f>
        <v>49000</v>
      </c>
      <c r="H257" s="184">
        <f>H264+H258</f>
        <v>49000</v>
      </c>
    </row>
    <row r="258" spans="1:8" ht="15">
      <c r="A258" s="192" t="s">
        <v>483</v>
      </c>
      <c r="B258" s="182" t="s">
        <v>258</v>
      </c>
      <c r="C258" s="182" t="s">
        <v>185</v>
      </c>
      <c r="D258" s="182"/>
      <c r="E258" s="193"/>
      <c r="F258" s="184">
        <f aca="true" t="shared" si="35" ref="F258:H262">F259</f>
        <v>49000</v>
      </c>
      <c r="G258" s="184">
        <f t="shared" si="35"/>
        <v>49000</v>
      </c>
      <c r="H258" s="184">
        <f t="shared" si="35"/>
        <v>49000</v>
      </c>
    </row>
    <row r="259" spans="1:8" ht="45.75" customHeight="1">
      <c r="A259" s="221" t="s">
        <v>484</v>
      </c>
      <c r="B259" s="182" t="s">
        <v>258</v>
      </c>
      <c r="C259" s="182" t="s">
        <v>185</v>
      </c>
      <c r="D259" s="207" t="s">
        <v>456</v>
      </c>
      <c r="E259" s="193"/>
      <c r="F259" s="184">
        <f t="shared" si="35"/>
        <v>49000</v>
      </c>
      <c r="G259" s="184">
        <f t="shared" si="35"/>
        <v>49000</v>
      </c>
      <c r="H259" s="184">
        <f t="shared" si="35"/>
        <v>49000</v>
      </c>
    </row>
    <row r="260" spans="1:8" ht="75.75" customHeight="1">
      <c r="A260" s="220" t="s">
        <v>485</v>
      </c>
      <c r="B260" s="182" t="s">
        <v>258</v>
      </c>
      <c r="C260" s="182" t="s">
        <v>185</v>
      </c>
      <c r="D260" s="207" t="s">
        <v>486</v>
      </c>
      <c r="E260" s="193"/>
      <c r="F260" s="184">
        <f t="shared" si="35"/>
        <v>49000</v>
      </c>
      <c r="G260" s="184">
        <f t="shared" si="35"/>
        <v>49000</v>
      </c>
      <c r="H260" s="184">
        <f t="shared" si="35"/>
        <v>49000</v>
      </c>
    </row>
    <row r="261" spans="1:8" ht="15">
      <c r="A261" s="192" t="s">
        <v>487</v>
      </c>
      <c r="B261" s="182" t="s">
        <v>258</v>
      </c>
      <c r="C261" s="182" t="s">
        <v>185</v>
      </c>
      <c r="D261" s="207" t="s">
        <v>488</v>
      </c>
      <c r="E261" s="193"/>
      <c r="F261" s="184">
        <f t="shared" si="35"/>
        <v>49000</v>
      </c>
      <c r="G261" s="184">
        <f t="shared" si="35"/>
        <v>49000</v>
      </c>
      <c r="H261" s="184">
        <f t="shared" si="35"/>
        <v>49000</v>
      </c>
    </row>
    <row r="262" spans="1:12" ht="20.25" customHeight="1">
      <c r="A262" s="192" t="s">
        <v>448</v>
      </c>
      <c r="B262" s="182" t="s">
        <v>258</v>
      </c>
      <c r="C262" s="182" t="s">
        <v>185</v>
      </c>
      <c r="D262" s="207" t="s">
        <v>489</v>
      </c>
      <c r="E262" s="193"/>
      <c r="F262" s="184">
        <f t="shared" si="35"/>
        <v>49000</v>
      </c>
      <c r="G262" s="184">
        <f t="shared" si="35"/>
        <v>49000</v>
      </c>
      <c r="H262" s="184">
        <f t="shared" si="35"/>
        <v>49000</v>
      </c>
      <c r="L262" s="194"/>
    </row>
    <row r="263" spans="1:8" ht="29.25" customHeight="1">
      <c r="A263" s="192" t="s">
        <v>206</v>
      </c>
      <c r="B263" s="182" t="s">
        <v>258</v>
      </c>
      <c r="C263" s="182" t="s">
        <v>185</v>
      </c>
      <c r="D263" s="207" t="s">
        <v>489</v>
      </c>
      <c r="E263" s="193" t="s">
        <v>207</v>
      </c>
      <c r="F263" s="184">
        <v>49000</v>
      </c>
      <c r="G263" s="184">
        <v>49000</v>
      </c>
      <c r="H263" s="184">
        <v>49000</v>
      </c>
    </row>
    <row r="264" spans="1:8" ht="15" hidden="1">
      <c r="A264" s="192" t="s">
        <v>490</v>
      </c>
      <c r="B264" s="182" t="s">
        <v>258</v>
      </c>
      <c r="C264" s="182" t="s">
        <v>187</v>
      </c>
      <c r="D264" s="182"/>
      <c r="E264" s="193"/>
      <c r="F264" s="184">
        <f>F265+F274</f>
        <v>0</v>
      </c>
      <c r="G264" s="184">
        <f>G265+G274</f>
        <v>0</v>
      </c>
      <c r="H264" s="184">
        <f>H265+H274</f>
        <v>0</v>
      </c>
    </row>
    <row r="265" spans="1:8" ht="38.25" hidden="1">
      <c r="A265" s="197" t="s">
        <v>491</v>
      </c>
      <c r="B265" s="182" t="s">
        <v>258</v>
      </c>
      <c r="C265" s="182" t="s">
        <v>187</v>
      </c>
      <c r="D265" s="207" t="s">
        <v>492</v>
      </c>
      <c r="E265" s="193"/>
      <c r="F265" s="184">
        <f aca="true" t="shared" si="36" ref="F265:H266">F266</f>
        <v>0</v>
      </c>
      <c r="G265" s="184">
        <f t="shared" si="36"/>
        <v>0</v>
      </c>
      <c r="H265" s="184">
        <f t="shared" si="36"/>
        <v>0</v>
      </c>
    </row>
    <row r="266" spans="1:8" ht="51" hidden="1">
      <c r="A266" s="221" t="s">
        <v>493</v>
      </c>
      <c r="B266" s="182" t="s">
        <v>258</v>
      </c>
      <c r="C266" s="182" t="s">
        <v>187</v>
      </c>
      <c r="D266" s="207" t="s">
        <v>494</v>
      </c>
      <c r="E266" s="193"/>
      <c r="F266" s="184">
        <f t="shared" si="36"/>
        <v>0</v>
      </c>
      <c r="G266" s="184">
        <f t="shared" si="36"/>
        <v>0</v>
      </c>
      <c r="H266" s="184">
        <f t="shared" si="36"/>
        <v>0</v>
      </c>
    </row>
    <row r="267" spans="1:8" ht="15" hidden="1">
      <c r="A267" s="199" t="s">
        <v>495</v>
      </c>
      <c r="B267" s="182" t="s">
        <v>258</v>
      </c>
      <c r="C267" s="182" t="s">
        <v>187</v>
      </c>
      <c r="D267" s="207" t="s">
        <v>496</v>
      </c>
      <c r="E267" s="193"/>
      <c r="F267" s="184">
        <f>F268+F270+F272</f>
        <v>0</v>
      </c>
      <c r="G267" s="184">
        <f>G268+G270+G272</f>
        <v>0</v>
      </c>
      <c r="H267" s="184">
        <f>H268+H270+H272</f>
        <v>0</v>
      </c>
    </row>
    <row r="268" spans="1:8" ht="30.75" customHeight="1" hidden="1">
      <c r="A268" s="200" t="s">
        <v>497</v>
      </c>
      <c r="B268" s="182" t="s">
        <v>258</v>
      </c>
      <c r="C268" s="182" t="s">
        <v>187</v>
      </c>
      <c r="D268" s="207" t="s">
        <v>498</v>
      </c>
      <c r="E268" s="193"/>
      <c r="F268" s="184">
        <f>F269</f>
        <v>0</v>
      </c>
      <c r="G268" s="184">
        <f>G269</f>
        <v>0</v>
      </c>
      <c r="H268" s="184">
        <f>H269</f>
        <v>0</v>
      </c>
    </row>
    <row r="269" spans="1:8" ht="15" hidden="1">
      <c r="A269" s="199" t="s">
        <v>429</v>
      </c>
      <c r="B269" s="182" t="s">
        <v>258</v>
      </c>
      <c r="C269" s="182" t="s">
        <v>187</v>
      </c>
      <c r="D269" s="207" t="s">
        <v>498</v>
      </c>
      <c r="E269" s="193" t="s">
        <v>430</v>
      </c>
      <c r="F269" s="184"/>
      <c r="G269" s="184"/>
      <c r="H269" s="184"/>
    </row>
    <row r="270" spans="1:8" ht="38.25" hidden="1">
      <c r="A270" s="196" t="s">
        <v>499</v>
      </c>
      <c r="B270" s="182" t="s">
        <v>258</v>
      </c>
      <c r="C270" s="182" t="s">
        <v>187</v>
      </c>
      <c r="D270" s="207" t="s">
        <v>500</v>
      </c>
      <c r="E270" s="193"/>
      <c r="F270" s="184">
        <f>F271</f>
        <v>0</v>
      </c>
      <c r="G270" s="184">
        <f>G271</f>
        <v>0</v>
      </c>
      <c r="H270" s="184">
        <f>H271</f>
        <v>0</v>
      </c>
    </row>
    <row r="271" spans="1:8" ht="15" hidden="1">
      <c r="A271" s="199" t="s">
        <v>429</v>
      </c>
      <c r="B271" s="182" t="s">
        <v>258</v>
      </c>
      <c r="C271" s="182" t="s">
        <v>187</v>
      </c>
      <c r="D271" s="207" t="s">
        <v>500</v>
      </c>
      <c r="E271" s="193" t="s">
        <v>430</v>
      </c>
      <c r="F271" s="184"/>
      <c r="G271" s="184"/>
      <c r="H271" s="184"/>
    </row>
    <row r="272" spans="1:8" ht="25.5" hidden="1">
      <c r="A272" s="196" t="s">
        <v>501</v>
      </c>
      <c r="B272" s="182" t="s">
        <v>258</v>
      </c>
      <c r="C272" s="182" t="s">
        <v>187</v>
      </c>
      <c r="D272" s="207" t="s">
        <v>502</v>
      </c>
      <c r="E272" s="193"/>
      <c r="F272" s="184">
        <f>F273</f>
        <v>0</v>
      </c>
      <c r="G272" s="184">
        <f>G273</f>
        <v>0</v>
      </c>
      <c r="H272" s="184">
        <f>H273</f>
        <v>0</v>
      </c>
    </row>
    <row r="273" spans="1:8" ht="15" hidden="1">
      <c r="A273" s="199" t="s">
        <v>429</v>
      </c>
      <c r="B273" s="182" t="s">
        <v>258</v>
      </c>
      <c r="C273" s="182" t="s">
        <v>187</v>
      </c>
      <c r="D273" s="207" t="s">
        <v>502</v>
      </c>
      <c r="E273" s="193" t="s">
        <v>430</v>
      </c>
      <c r="F273" s="184"/>
      <c r="G273" s="184"/>
      <c r="H273" s="184"/>
    </row>
    <row r="274" spans="1:8" ht="42" customHeight="1" hidden="1">
      <c r="A274" s="221" t="s">
        <v>484</v>
      </c>
      <c r="B274" s="182" t="s">
        <v>258</v>
      </c>
      <c r="C274" s="182" t="s">
        <v>187</v>
      </c>
      <c r="D274" s="207" t="s">
        <v>456</v>
      </c>
      <c r="E274" s="193"/>
      <c r="F274" s="184">
        <f>F275</f>
        <v>0</v>
      </c>
      <c r="G274" s="184">
        <f>G275</f>
        <v>0</v>
      </c>
      <c r="H274" s="184">
        <f>H275</f>
        <v>0</v>
      </c>
    </row>
    <row r="275" spans="1:8" ht="63.75" hidden="1">
      <c r="A275" s="220" t="s">
        <v>485</v>
      </c>
      <c r="B275" s="182" t="s">
        <v>258</v>
      </c>
      <c r="C275" s="182" t="s">
        <v>187</v>
      </c>
      <c r="D275" s="207" t="s">
        <v>486</v>
      </c>
      <c r="E275" s="193"/>
      <c r="F275" s="184">
        <f>F281+F288</f>
        <v>0</v>
      </c>
      <c r="G275" s="184">
        <f>G281+G288</f>
        <v>0</v>
      </c>
      <c r="H275" s="184">
        <f>H281+H288</f>
        <v>0</v>
      </c>
    </row>
    <row r="276" spans="1:8" ht="25.5" hidden="1">
      <c r="A276" s="199" t="s">
        <v>503</v>
      </c>
      <c r="B276" s="182" t="s">
        <v>258</v>
      </c>
      <c r="C276" s="182" t="s">
        <v>187</v>
      </c>
      <c r="D276" s="204" t="s">
        <v>504</v>
      </c>
      <c r="E276" s="193"/>
      <c r="F276" s="184">
        <f>F277+F279</f>
        <v>0</v>
      </c>
      <c r="G276" s="184">
        <f>G277+G279</f>
        <v>0</v>
      </c>
      <c r="H276" s="184">
        <f>H277+H279</f>
        <v>0</v>
      </c>
    </row>
    <row r="277" spans="1:8" ht="23.25" customHeight="1" hidden="1">
      <c r="A277" s="200" t="s">
        <v>505</v>
      </c>
      <c r="B277" s="182" t="s">
        <v>258</v>
      </c>
      <c r="C277" s="182" t="s">
        <v>187</v>
      </c>
      <c r="D277" s="204" t="s">
        <v>506</v>
      </c>
      <c r="E277" s="193"/>
      <c r="F277" s="184">
        <f>F278</f>
        <v>0</v>
      </c>
      <c r="G277" s="184">
        <f>G278</f>
        <v>0</v>
      </c>
      <c r="H277" s="184">
        <f>H278</f>
        <v>0</v>
      </c>
    </row>
    <row r="278" spans="1:8" ht="15" hidden="1">
      <c r="A278" s="220" t="s">
        <v>507</v>
      </c>
      <c r="B278" s="182" t="s">
        <v>258</v>
      </c>
      <c r="C278" s="182" t="s">
        <v>187</v>
      </c>
      <c r="D278" s="204" t="s">
        <v>506</v>
      </c>
      <c r="E278" s="193" t="s">
        <v>508</v>
      </c>
      <c r="F278" s="184"/>
      <c r="G278" s="184"/>
      <c r="H278" s="184"/>
    </row>
    <row r="279" spans="1:8" ht="25.5" hidden="1">
      <c r="A279" s="200" t="s">
        <v>509</v>
      </c>
      <c r="B279" s="182" t="s">
        <v>258</v>
      </c>
      <c r="C279" s="182" t="s">
        <v>187</v>
      </c>
      <c r="D279" s="204" t="s">
        <v>510</v>
      </c>
      <c r="E279" s="193"/>
      <c r="F279" s="184">
        <f>F280</f>
        <v>0</v>
      </c>
      <c r="G279" s="184">
        <f>G280</f>
        <v>0</v>
      </c>
      <c r="H279" s="184">
        <f>H280</f>
        <v>0</v>
      </c>
    </row>
    <row r="280" spans="1:8" ht="15" hidden="1">
      <c r="A280" s="220" t="s">
        <v>507</v>
      </c>
      <c r="B280" s="182" t="s">
        <v>258</v>
      </c>
      <c r="C280" s="182" t="s">
        <v>187</v>
      </c>
      <c r="D280" s="204" t="s">
        <v>510</v>
      </c>
      <c r="E280" s="193" t="s">
        <v>508</v>
      </c>
      <c r="F280" s="184"/>
      <c r="G280" s="184"/>
      <c r="H280" s="184"/>
    </row>
    <row r="281" spans="1:8" ht="30.75" customHeight="1" hidden="1">
      <c r="A281" s="199" t="s">
        <v>511</v>
      </c>
      <c r="B281" s="182" t="s">
        <v>258</v>
      </c>
      <c r="C281" s="182" t="s">
        <v>187</v>
      </c>
      <c r="D281" s="204" t="s">
        <v>512</v>
      </c>
      <c r="E281" s="193"/>
      <c r="F281" s="184">
        <f>F282+F286</f>
        <v>0</v>
      </c>
      <c r="G281" s="184">
        <f>G282+G286</f>
        <v>0</v>
      </c>
      <c r="H281" s="184">
        <f>H282+H286</f>
        <v>0</v>
      </c>
    </row>
    <row r="282" spans="1:8" ht="25.5" hidden="1">
      <c r="A282" s="199" t="s">
        <v>513</v>
      </c>
      <c r="B282" s="182" t="s">
        <v>258</v>
      </c>
      <c r="C282" s="182" t="s">
        <v>187</v>
      </c>
      <c r="D282" s="204" t="s">
        <v>514</v>
      </c>
      <c r="E282" s="193"/>
      <c r="F282" s="184">
        <f>F283+F285+F284</f>
        <v>0</v>
      </c>
      <c r="G282" s="184">
        <f>G283+G285+G284</f>
        <v>0</v>
      </c>
      <c r="H282" s="184">
        <f>H283+H285+H284</f>
        <v>0</v>
      </c>
    </row>
    <row r="283" spans="1:8" ht="21.75" customHeight="1" hidden="1">
      <c r="A283" s="192" t="s">
        <v>252</v>
      </c>
      <c r="B283" s="182" t="s">
        <v>258</v>
      </c>
      <c r="C283" s="182" t="s">
        <v>187</v>
      </c>
      <c r="D283" s="204" t="s">
        <v>514</v>
      </c>
      <c r="E283" s="193" t="s">
        <v>207</v>
      </c>
      <c r="F283" s="184">
        <f>447443-447443</f>
        <v>0</v>
      </c>
      <c r="G283" s="184">
        <f>447443-447443</f>
        <v>0</v>
      </c>
      <c r="H283" s="184">
        <f>447443-447443</f>
        <v>0</v>
      </c>
    </row>
    <row r="284" spans="1:8" ht="15" hidden="1">
      <c r="A284" s="199" t="s">
        <v>429</v>
      </c>
      <c r="B284" s="182" t="s">
        <v>258</v>
      </c>
      <c r="C284" s="182" t="s">
        <v>187</v>
      </c>
      <c r="D284" s="204" t="s">
        <v>514</v>
      </c>
      <c r="E284" s="193" t="s">
        <v>430</v>
      </c>
      <c r="F284" s="184"/>
      <c r="G284" s="184"/>
      <c r="H284" s="184"/>
    </row>
    <row r="285" spans="1:8" ht="15" hidden="1">
      <c r="A285" s="192" t="s">
        <v>274</v>
      </c>
      <c r="B285" s="182" t="s">
        <v>258</v>
      </c>
      <c r="C285" s="182" t="s">
        <v>187</v>
      </c>
      <c r="D285" s="204" t="s">
        <v>514</v>
      </c>
      <c r="E285" s="193" t="s">
        <v>275</v>
      </c>
      <c r="F285" s="184"/>
      <c r="G285" s="184"/>
      <c r="H285" s="184"/>
    </row>
    <row r="286" spans="1:8" ht="38.25" hidden="1">
      <c r="A286" s="191" t="s">
        <v>515</v>
      </c>
      <c r="B286" s="182" t="s">
        <v>258</v>
      </c>
      <c r="C286" s="182" t="s">
        <v>187</v>
      </c>
      <c r="D286" s="204" t="s">
        <v>516</v>
      </c>
      <c r="E286" s="193"/>
      <c r="F286" s="184">
        <f>F287</f>
        <v>0</v>
      </c>
      <c r="G286" s="184">
        <f>G287</f>
        <v>0</v>
      </c>
      <c r="H286" s="184">
        <f>H287</f>
        <v>0</v>
      </c>
    </row>
    <row r="287" spans="1:8" ht="15" hidden="1">
      <c r="A287" s="192" t="s">
        <v>507</v>
      </c>
      <c r="B287" s="182" t="s">
        <v>258</v>
      </c>
      <c r="C287" s="182" t="s">
        <v>187</v>
      </c>
      <c r="D287" s="204" t="s">
        <v>516</v>
      </c>
      <c r="E287" s="193" t="s">
        <v>508</v>
      </c>
      <c r="F287" s="184">
        <f>400000-400000</f>
        <v>0</v>
      </c>
      <c r="G287" s="184">
        <f>400000-400000</f>
        <v>0</v>
      </c>
      <c r="H287" s="184">
        <f>400000-400000</f>
        <v>0</v>
      </c>
    </row>
    <row r="288" spans="1:8" ht="25.5" hidden="1">
      <c r="A288" s="192" t="s">
        <v>517</v>
      </c>
      <c r="B288" s="182" t="s">
        <v>258</v>
      </c>
      <c r="C288" s="182" t="s">
        <v>187</v>
      </c>
      <c r="D288" s="204" t="s">
        <v>518</v>
      </c>
      <c r="E288" s="193"/>
      <c r="F288" s="184">
        <f aca="true" t="shared" si="37" ref="F288:H289">F289</f>
        <v>0</v>
      </c>
      <c r="G288" s="184">
        <f t="shared" si="37"/>
        <v>0</v>
      </c>
      <c r="H288" s="184">
        <f t="shared" si="37"/>
        <v>0</v>
      </c>
    </row>
    <row r="289" spans="1:8" ht="15" hidden="1">
      <c r="A289" s="192" t="s">
        <v>519</v>
      </c>
      <c r="B289" s="182" t="s">
        <v>258</v>
      </c>
      <c r="C289" s="182" t="s">
        <v>187</v>
      </c>
      <c r="D289" s="204" t="s">
        <v>520</v>
      </c>
      <c r="E289" s="193"/>
      <c r="F289" s="184">
        <f t="shared" si="37"/>
        <v>0</v>
      </c>
      <c r="G289" s="184">
        <f t="shared" si="37"/>
        <v>0</v>
      </c>
      <c r="H289" s="184">
        <f t="shared" si="37"/>
        <v>0</v>
      </c>
    </row>
    <row r="290" spans="1:8" ht="15" hidden="1">
      <c r="A290" s="192" t="s">
        <v>274</v>
      </c>
      <c r="B290" s="182" t="s">
        <v>258</v>
      </c>
      <c r="C290" s="182" t="s">
        <v>187</v>
      </c>
      <c r="D290" s="204" t="s">
        <v>520</v>
      </c>
      <c r="E290" s="193" t="s">
        <v>275</v>
      </c>
      <c r="F290" s="184"/>
      <c r="G290" s="184"/>
      <c r="H290" s="184"/>
    </row>
    <row r="291" spans="1:8" ht="15">
      <c r="A291" s="220" t="s">
        <v>521</v>
      </c>
      <c r="B291" s="182" t="s">
        <v>262</v>
      </c>
      <c r="C291" s="182"/>
      <c r="D291" s="207"/>
      <c r="E291" s="193"/>
      <c r="F291" s="184">
        <f aca="true" t="shared" si="38" ref="F291:H296">F292</f>
        <v>57642</v>
      </c>
      <c r="G291" s="184">
        <f t="shared" si="38"/>
        <v>57642</v>
      </c>
      <c r="H291" s="184">
        <f t="shared" si="38"/>
        <v>57642</v>
      </c>
    </row>
    <row r="292" spans="1:8" ht="15">
      <c r="A292" s="205" t="s">
        <v>522</v>
      </c>
      <c r="B292" s="182" t="s">
        <v>262</v>
      </c>
      <c r="C292" s="182" t="s">
        <v>258</v>
      </c>
      <c r="D292" s="207"/>
      <c r="E292" s="193"/>
      <c r="F292" s="184">
        <f t="shared" si="38"/>
        <v>57642</v>
      </c>
      <c r="G292" s="184">
        <f t="shared" si="38"/>
        <v>57642</v>
      </c>
      <c r="H292" s="184">
        <f t="shared" si="38"/>
        <v>57642</v>
      </c>
    </row>
    <row r="293" spans="1:8" ht="38.25">
      <c r="A293" s="199" t="s">
        <v>491</v>
      </c>
      <c r="B293" s="182" t="s">
        <v>262</v>
      </c>
      <c r="C293" s="182" t="s">
        <v>258</v>
      </c>
      <c r="D293" s="207" t="s">
        <v>492</v>
      </c>
      <c r="E293" s="193"/>
      <c r="F293" s="184">
        <f t="shared" si="38"/>
        <v>57642</v>
      </c>
      <c r="G293" s="184">
        <f t="shared" si="38"/>
        <v>57642</v>
      </c>
      <c r="H293" s="184">
        <f t="shared" si="38"/>
        <v>57642</v>
      </c>
    </row>
    <row r="294" spans="1:8" ht="51">
      <c r="A294" s="199" t="s">
        <v>493</v>
      </c>
      <c r="B294" s="182" t="s">
        <v>262</v>
      </c>
      <c r="C294" s="182" t="s">
        <v>258</v>
      </c>
      <c r="D294" s="207" t="s">
        <v>494</v>
      </c>
      <c r="E294" s="193"/>
      <c r="F294" s="184">
        <f t="shared" si="38"/>
        <v>57642</v>
      </c>
      <c r="G294" s="184">
        <f t="shared" si="38"/>
        <v>57642</v>
      </c>
      <c r="H294" s="184">
        <f t="shared" si="38"/>
        <v>57642</v>
      </c>
    </row>
    <row r="295" spans="1:8" ht="15">
      <c r="A295" s="199" t="s">
        <v>523</v>
      </c>
      <c r="B295" s="182" t="s">
        <v>262</v>
      </c>
      <c r="C295" s="182" t="s">
        <v>258</v>
      </c>
      <c r="D295" s="207" t="s">
        <v>524</v>
      </c>
      <c r="E295" s="193"/>
      <c r="F295" s="184">
        <f t="shared" si="38"/>
        <v>57642</v>
      </c>
      <c r="G295" s="184">
        <f t="shared" si="38"/>
        <v>57642</v>
      </c>
      <c r="H295" s="184">
        <f t="shared" si="38"/>
        <v>57642</v>
      </c>
    </row>
    <row r="296" spans="1:8" ht="15">
      <c r="A296" s="199" t="s">
        <v>525</v>
      </c>
      <c r="B296" s="182" t="s">
        <v>262</v>
      </c>
      <c r="C296" s="182" t="s">
        <v>258</v>
      </c>
      <c r="D296" s="207" t="s">
        <v>526</v>
      </c>
      <c r="E296" s="193"/>
      <c r="F296" s="184">
        <f t="shared" si="38"/>
        <v>57642</v>
      </c>
      <c r="G296" s="184">
        <f t="shared" si="38"/>
        <v>57642</v>
      </c>
      <c r="H296" s="184">
        <f t="shared" si="38"/>
        <v>57642</v>
      </c>
    </row>
    <row r="297" spans="1:8" ht="25.5">
      <c r="A297" s="192" t="s">
        <v>206</v>
      </c>
      <c r="B297" s="182" t="s">
        <v>262</v>
      </c>
      <c r="C297" s="182" t="s">
        <v>258</v>
      </c>
      <c r="D297" s="207" t="s">
        <v>526</v>
      </c>
      <c r="E297" s="193" t="s">
        <v>207</v>
      </c>
      <c r="F297" s="184">
        <v>57642</v>
      </c>
      <c r="G297" s="184">
        <v>57642</v>
      </c>
      <c r="H297" s="184">
        <v>57642</v>
      </c>
    </row>
    <row r="298" spans="1:12" ht="16.5" customHeight="1">
      <c r="A298" s="199" t="s">
        <v>527</v>
      </c>
      <c r="B298" s="182" t="s">
        <v>269</v>
      </c>
      <c r="C298" s="182"/>
      <c r="D298" s="207"/>
      <c r="E298" s="210"/>
      <c r="F298" s="184">
        <f>F299+F319+F393+F411+F417</f>
        <v>570739796</v>
      </c>
      <c r="G298" s="184">
        <f>G299+G319+G393+G411+G417</f>
        <v>652600893</v>
      </c>
      <c r="H298" s="184">
        <f>H299+H319+H393+H411+H417</f>
        <v>682540631</v>
      </c>
      <c r="J298" s="174"/>
      <c r="K298" s="174"/>
      <c r="L298" s="174"/>
    </row>
    <row r="299" spans="1:9" ht="18" customHeight="1">
      <c r="A299" s="199" t="s">
        <v>528</v>
      </c>
      <c r="B299" s="182" t="s">
        <v>269</v>
      </c>
      <c r="C299" s="182" t="s">
        <v>185</v>
      </c>
      <c r="D299" s="207"/>
      <c r="E299" s="210"/>
      <c r="F299" s="184">
        <f aca="true" t="shared" si="39" ref="F299:H300">F300</f>
        <v>123661714</v>
      </c>
      <c r="G299" s="184">
        <f t="shared" si="39"/>
        <v>111934017</v>
      </c>
      <c r="H299" s="184">
        <f t="shared" si="39"/>
        <v>112410317</v>
      </c>
      <c r="I299" s="194"/>
    </row>
    <row r="300" spans="1:11" ht="34.5" customHeight="1">
      <c r="A300" s="199" t="s">
        <v>301</v>
      </c>
      <c r="B300" s="182" t="s">
        <v>269</v>
      </c>
      <c r="C300" s="182" t="s">
        <v>185</v>
      </c>
      <c r="D300" s="182" t="s">
        <v>302</v>
      </c>
      <c r="E300" s="183"/>
      <c r="F300" s="184">
        <f t="shared" si="39"/>
        <v>123661714</v>
      </c>
      <c r="G300" s="184">
        <f t="shared" si="39"/>
        <v>111934017</v>
      </c>
      <c r="H300" s="184">
        <f t="shared" si="39"/>
        <v>112410317</v>
      </c>
      <c r="K300" s="194"/>
    </row>
    <row r="301" spans="1:8" ht="45" customHeight="1">
      <c r="A301" s="222" t="s">
        <v>529</v>
      </c>
      <c r="B301" s="182" t="s">
        <v>269</v>
      </c>
      <c r="C301" s="182" t="s">
        <v>185</v>
      </c>
      <c r="D301" s="182" t="s">
        <v>530</v>
      </c>
      <c r="E301" s="183"/>
      <c r="F301" s="184">
        <f>F302+F315</f>
        <v>123661714</v>
      </c>
      <c r="G301" s="184">
        <f>G302+G315</f>
        <v>111934017</v>
      </c>
      <c r="H301" s="184">
        <f>H302+H315</f>
        <v>112410317</v>
      </c>
    </row>
    <row r="302" spans="1:8" ht="30" customHeight="1">
      <c r="A302" s="199" t="s">
        <v>531</v>
      </c>
      <c r="B302" s="182" t="s">
        <v>269</v>
      </c>
      <c r="C302" s="182" t="s">
        <v>185</v>
      </c>
      <c r="D302" s="182" t="s">
        <v>532</v>
      </c>
      <c r="E302" s="183"/>
      <c r="F302" s="184">
        <f>F303+F310+F308+F306</f>
        <v>118253691</v>
      </c>
      <c r="G302" s="184">
        <f>G303+G310+G308+G306</f>
        <v>108640506</v>
      </c>
      <c r="H302" s="184">
        <f>H303+H310+H308+H306</f>
        <v>109116806</v>
      </c>
    </row>
    <row r="303" spans="1:8" ht="66.75" customHeight="1">
      <c r="A303" s="200" t="s">
        <v>533</v>
      </c>
      <c r="B303" s="182" t="s">
        <v>269</v>
      </c>
      <c r="C303" s="182" t="s">
        <v>185</v>
      </c>
      <c r="D303" s="182" t="s">
        <v>534</v>
      </c>
      <c r="E303" s="183"/>
      <c r="F303" s="184">
        <f>F304+F305</f>
        <v>72149054</v>
      </c>
      <c r="G303" s="184">
        <f>G304+G305</f>
        <v>67486657</v>
      </c>
      <c r="H303" s="184">
        <f>H304+H305</f>
        <v>67486657</v>
      </c>
    </row>
    <row r="304" spans="1:8" ht="43.5" customHeight="1">
      <c r="A304" s="191" t="s">
        <v>194</v>
      </c>
      <c r="B304" s="182" t="s">
        <v>269</v>
      </c>
      <c r="C304" s="182" t="s">
        <v>185</v>
      </c>
      <c r="D304" s="182" t="s">
        <v>534</v>
      </c>
      <c r="E304" s="183" t="s">
        <v>195</v>
      </c>
      <c r="F304" s="184">
        <v>71626719</v>
      </c>
      <c r="G304" s="184">
        <v>66964322</v>
      </c>
      <c r="H304" s="184">
        <v>66964322</v>
      </c>
    </row>
    <row r="305" spans="1:8" ht="16.5" customHeight="1">
      <c r="A305" s="192" t="s">
        <v>206</v>
      </c>
      <c r="B305" s="182" t="s">
        <v>269</v>
      </c>
      <c r="C305" s="182" t="s">
        <v>185</v>
      </c>
      <c r="D305" s="182" t="s">
        <v>534</v>
      </c>
      <c r="E305" s="183" t="s">
        <v>207</v>
      </c>
      <c r="F305" s="184">
        <v>522335</v>
      </c>
      <c r="G305" s="184">
        <v>522335</v>
      </c>
      <c r="H305" s="184">
        <v>522335</v>
      </c>
    </row>
    <row r="306" spans="1:8" ht="17.25" customHeight="1" hidden="1">
      <c r="A306" s="200" t="s">
        <v>535</v>
      </c>
      <c r="B306" s="182" t="s">
        <v>269</v>
      </c>
      <c r="C306" s="182" t="s">
        <v>185</v>
      </c>
      <c r="D306" s="182" t="s">
        <v>536</v>
      </c>
      <c r="E306" s="183"/>
      <c r="F306" s="184">
        <f>F307</f>
        <v>0</v>
      </c>
      <c r="G306" s="184">
        <f>G307</f>
        <v>0</v>
      </c>
      <c r="H306" s="184">
        <f>H307</f>
        <v>0</v>
      </c>
    </row>
    <row r="307" spans="1:8" ht="17.25" customHeight="1" hidden="1">
      <c r="A307" s="192" t="s">
        <v>206</v>
      </c>
      <c r="B307" s="182" t="s">
        <v>269</v>
      </c>
      <c r="C307" s="182" t="s">
        <v>185</v>
      </c>
      <c r="D307" s="182" t="s">
        <v>536</v>
      </c>
      <c r="E307" s="183" t="s">
        <v>207</v>
      </c>
      <c r="F307" s="184"/>
      <c r="G307" s="184"/>
      <c r="H307" s="184"/>
    </row>
    <row r="308" spans="1:8" ht="25.5" hidden="1">
      <c r="A308" s="200" t="s">
        <v>537</v>
      </c>
      <c r="B308" s="182" t="s">
        <v>269</v>
      </c>
      <c r="C308" s="182" t="s">
        <v>185</v>
      </c>
      <c r="D308" s="182" t="s">
        <v>538</v>
      </c>
      <c r="E308" s="183"/>
      <c r="F308" s="184">
        <f>F309</f>
        <v>0</v>
      </c>
      <c r="G308" s="184">
        <f>G309</f>
        <v>0</v>
      </c>
      <c r="H308" s="184">
        <f>H309</f>
        <v>0</v>
      </c>
    </row>
    <row r="309" spans="1:8" ht="18" customHeight="1" hidden="1">
      <c r="A309" s="192" t="s">
        <v>206</v>
      </c>
      <c r="B309" s="182" t="s">
        <v>269</v>
      </c>
      <c r="C309" s="182" t="s">
        <v>185</v>
      </c>
      <c r="D309" s="182" t="s">
        <v>538</v>
      </c>
      <c r="E309" s="183" t="s">
        <v>207</v>
      </c>
      <c r="F309" s="184"/>
      <c r="G309" s="184"/>
      <c r="H309" s="184"/>
    </row>
    <row r="310" spans="1:8" ht="19.5" customHeight="1">
      <c r="A310" s="199" t="s">
        <v>366</v>
      </c>
      <c r="B310" s="182" t="s">
        <v>269</v>
      </c>
      <c r="C310" s="182" t="s">
        <v>185</v>
      </c>
      <c r="D310" s="182" t="s">
        <v>539</v>
      </c>
      <c r="E310" s="183"/>
      <c r="F310" s="184">
        <f>F311+F312+F314+F313</f>
        <v>46104637</v>
      </c>
      <c r="G310" s="184">
        <f>G311+G312+G314+G313</f>
        <v>41153849</v>
      </c>
      <c r="H310" s="184">
        <f>H311+H312+H314+H313</f>
        <v>41630149</v>
      </c>
    </row>
    <row r="311" spans="1:8" ht="42.75" customHeight="1">
      <c r="A311" s="192" t="s">
        <v>194</v>
      </c>
      <c r="B311" s="182" t="s">
        <v>269</v>
      </c>
      <c r="C311" s="182" t="s">
        <v>185</v>
      </c>
      <c r="D311" s="182" t="s">
        <v>539</v>
      </c>
      <c r="E311" s="183" t="s">
        <v>195</v>
      </c>
      <c r="F311" s="184">
        <v>28710800</v>
      </c>
      <c r="G311" s="184">
        <v>23760012</v>
      </c>
      <c r="H311" s="184">
        <v>24236312</v>
      </c>
    </row>
    <row r="312" spans="1:8" ht="27" customHeight="1">
      <c r="A312" s="192" t="s">
        <v>206</v>
      </c>
      <c r="B312" s="182" t="s">
        <v>269</v>
      </c>
      <c r="C312" s="182" t="s">
        <v>185</v>
      </c>
      <c r="D312" s="182" t="s">
        <v>539</v>
      </c>
      <c r="E312" s="183" t="s">
        <v>207</v>
      </c>
      <c r="F312" s="184">
        <v>15877400</v>
      </c>
      <c r="G312" s="184">
        <v>15877400</v>
      </c>
      <c r="H312" s="184">
        <v>15877400</v>
      </c>
    </row>
    <row r="313" spans="1:8" ht="26.25" customHeight="1" hidden="1">
      <c r="A313" s="199" t="s">
        <v>429</v>
      </c>
      <c r="B313" s="182" t="s">
        <v>269</v>
      </c>
      <c r="C313" s="182" t="s">
        <v>185</v>
      </c>
      <c r="D313" s="182" t="s">
        <v>539</v>
      </c>
      <c r="E313" s="183" t="s">
        <v>430</v>
      </c>
      <c r="F313" s="184"/>
      <c r="G313" s="184"/>
      <c r="H313" s="184"/>
    </row>
    <row r="314" spans="1:8" ht="20.25" customHeight="1">
      <c r="A314" s="199" t="s">
        <v>274</v>
      </c>
      <c r="B314" s="182" t="s">
        <v>269</v>
      </c>
      <c r="C314" s="182" t="s">
        <v>185</v>
      </c>
      <c r="D314" s="182" t="s">
        <v>539</v>
      </c>
      <c r="E314" s="183" t="s">
        <v>275</v>
      </c>
      <c r="F314" s="184">
        <f>1514562+1875</f>
        <v>1516437</v>
      </c>
      <c r="G314" s="184">
        <f>1514562+1875</f>
        <v>1516437</v>
      </c>
      <c r="H314" s="184">
        <f>1514562+1875</f>
        <v>1516437</v>
      </c>
    </row>
    <row r="315" spans="1:8" ht="28.5" customHeight="1">
      <c r="A315" s="199" t="s">
        <v>540</v>
      </c>
      <c r="B315" s="182" t="s">
        <v>269</v>
      </c>
      <c r="C315" s="182" t="s">
        <v>185</v>
      </c>
      <c r="D315" s="182" t="s">
        <v>541</v>
      </c>
      <c r="E315" s="183"/>
      <c r="F315" s="184">
        <f>F316</f>
        <v>5408023</v>
      </c>
      <c r="G315" s="184">
        <f>G316</f>
        <v>3293511</v>
      </c>
      <c r="H315" s="184">
        <f>H316</f>
        <v>3293511</v>
      </c>
    </row>
    <row r="316" spans="1:8" ht="38.25">
      <c r="A316" s="199" t="s">
        <v>542</v>
      </c>
      <c r="B316" s="182" t="s">
        <v>269</v>
      </c>
      <c r="C316" s="182" t="s">
        <v>185</v>
      </c>
      <c r="D316" s="182" t="s">
        <v>543</v>
      </c>
      <c r="E316" s="183"/>
      <c r="F316" s="184">
        <f>F317+F318</f>
        <v>5408023</v>
      </c>
      <c r="G316" s="184">
        <f>G317+G318</f>
        <v>3293511</v>
      </c>
      <c r="H316" s="184">
        <f>H317+H318</f>
        <v>3293511</v>
      </c>
    </row>
    <row r="317" spans="1:8" ht="38.25">
      <c r="A317" s="192" t="s">
        <v>194</v>
      </c>
      <c r="B317" s="182" t="s">
        <v>269</v>
      </c>
      <c r="C317" s="182" t="s">
        <v>185</v>
      </c>
      <c r="D317" s="182" t="s">
        <v>543</v>
      </c>
      <c r="E317" s="183" t="s">
        <v>195</v>
      </c>
      <c r="F317" s="184">
        <v>3824023</v>
      </c>
      <c r="G317" s="184">
        <v>2327271</v>
      </c>
      <c r="H317" s="184">
        <v>2327271</v>
      </c>
    </row>
    <row r="318" spans="1:8" ht="15">
      <c r="A318" s="223" t="s">
        <v>244</v>
      </c>
      <c r="B318" s="182" t="s">
        <v>269</v>
      </c>
      <c r="C318" s="182" t="s">
        <v>185</v>
      </c>
      <c r="D318" s="182" t="s">
        <v>543</v>
      </c>
      <c r="E318" s="183" t="s">
        <v>245</v>
      </c>
      <c r="F318" s="184">
        <v>1584000</v>
      </c>
      <c r="G318" s="184">
        <v>966240</v>
      </c>
      <c r="H318" s="184">
        <v>966240</v>
      </c>
    </row>
    <row r="319" spans="1:8" ht="15">
      <c r="A319" s="199" t="s">
        <v>544</v>
      </c>
      <c r="B319" s="182" t="s">
        <v>269</v>
      </c>
      <c r="C319" s="182" t="s">
        <v>187</v>
      </c>
      <c r="D319" s="182"/>
      <c r="E319" s="183"/>
      <c r="F319" s="184">
        <f>F320+F380+F388</f>
        <v>387292249</v>
      </c>
      <c r="G319" s="184">
        <f>G320+G380+G388</f>
        <v>486511925</v>
      </c>
      <c r="H319" s="184">
        <f>H320+H380+H388</f>
        <v>515578713</v>
      </c>
    </row>
    <row r="320" spans="1:8" ht="25.5">
      <c r="A320" s="199" t="s">
        <v>301</v>
      </c>
      <c r="B320" s="182" t="s">
        <v>269</v>
      </c>
      <c r="C320" s="182" t="s">
        <v>187</v>
      </c>
      <c r="D320" s="182" t="s">
        <v>302</v>
      </c>
      <c r="E320" s="183"/>
      <c r="F320" s="184">
        <f>F321+F376</f>
        <v>387201849</v>
      </c>
      <c r="G320" s="184">
        <f>G321</f>
        <v>486421525</v>
      </c>
      <c r="H320" s="184">
        <f>H321</f>
        <v>515488313</v>
      </c>
    </row>
    <row r="321" spans="1:8" ht="36.75" customHeight="1">
      <c r="A321" s="222" t="s">
        <v>529</v>
      </c>
      <c r="B321" s="182" t="s">
        <v>269</v>
      </c>
      <c r="C321" s="182" t="s">
        <v>187</v>
      </c>
      <c r="D321" s="182" t="s">
        <v>530</v>
      </c>
      <c r="E321" s="183"/>
      <c r="F321" s="184">
        <f>F333+F328+F322+F325+F331</f>
        <v>381081849</v>
      </c>
      <c r="G321" s="184">
        <f>G333+G328+G322+G325+G331</f>
        <v>486421525</v>
      </c>
      <c r="H321" s="184">
        <f>H333+H328+H322+H325+H331</f>
        <v>515488313</v>
      </c>
    </row>
    <row r="322" spans="1:8" ht="15" hidden="1">
      <c r="A322" s="199" t="s">
        <v>545</v>
      </c>
      <c r="B322" s="182" t="s">
        <v>269</v>
      </c>
      <c r="C322" s="182" t="s">
        <v>187</v>
      </c>
      <c r="D322" s="182" t="s">
        <v>546</v>
      </c>
      <c r="E322" s="183"/>
      <c r="F322" s="184">
        <f aca="true" t="shared" si="40" ref="F322:H323">F323</f>
        <v>0</v>
      </c>
      <c r="G322" s="184">
        <f t="shared" si="40"/>
        <v>0</v>
      </c>
      <c r="H322" s="184">
        <f t="shared" si="40"/>
        <v>0</v>
      </c>
    </row>
    <row r="323" spans="1:8" ht="82.5" customHeight="1" hidden="1">
      <c r="A323" s="224" t="s">
        <v>547</v>
      </c>
      <c r="B323" s="182" t="s">
        <v>269</v>
      </c>
      <c r="C323" s="182" t="s">
        <v>187</v>
      </c>
      <c r="D323" s="182" t="s">
        <v>548</v>
      </c>
      <c r="E323" s="183"/>
      <c r="F323" s="184">
        <f t="shared" si="40"/>
        <v>0</v>
      </c>
      <c r="G323" s="184">
        <f t="shared" si="40"/>
        <v>0</v>
      </c>
      <c r="H323" s="184">
        <f t="shared" si="40"/>
        <v>0</v>
      </c>
    </row>
    <row r="324" spans="1:8" ht="19.5" customHeight="1" hidden="1">
      <c r="A324" s="192" t="s">
        <v>206</v>
      </c>
      <c r="B324" s="182" t="s">
        <v>269</v>
      </c>
      <c r="C324" s="182" t="s">
        <v>187</v>
      </c>
      <c r="D324" s="182" t="s">
        <v>548</v>
      </c>
      <c r="E324" s="183" t="s">
        <v>207</v>
      </c>
      <c r="F324" s="184"/>
      <c r="G324" s="184"/>
      <c r="H324" s="184"/>
    </row>
    <row r="325" spans="1:8" ht="15">
      <c r="A325" s="199" t="s">
        <v>549</v>
      </c>
      <c r="B325" s="182" t="s">
        <v>269</v>
      </c>
      <c r="C325" s="182" t="s">
        <v>187</v>
      </c>
      <c r="D325" s="182" t="s">
        <v>550</v>
      </c>
      <c r="E325" s="225"/>
      <c r="F325" s="184">
        <f aca="true" t="shared" si="41" ref="F325:H326">F326</f>
        <v>1334124</v>
      </c>
      <c r="G325" s="184">
        <f t="shared" si="41"/>
        <v>0</v>
      </c>
      <c r="H325" s="184">
        <f t="shared" si="41"/>
        <v>0</v>
      </c>
    </row>
    <row r="326" spans="1:8" ht="41.25" customHeight="1">
      <c r="A326" s="199" t="s">
        <v>551</v>
      </c>
      <c r="B326" s="182" t="s">
        <v>269</v>
      </c>
      <c r="C326" s="182" t="s">
        <v>187</v>
      </c>
      <c r="D326" s="182" t="s">
        <v>552</v>
      </c>
      <c r="E326" s="225"/>
      <c r="F326" s="184">
        <f t="shared" si="41"/>
        <v>1334124</v>
      </c>
      <c r="G326" s="184">
        <f t="shared" si="41"/>
        <v>0</v>
      </c>
      <c r="H326" s="184">
        <f t="shared" si="41"/>
        <v>0</v>
      </c>
    </row>
    <row r="327" spans="1:12" ht="23.25" customHeight="1">
      <c r="A327" s="192" t="s">
        <v>206</v>
      </c>
      <c r="B327" s="182" t="s">
        <v>269</v>
      </c>
      <c r="C327" s="182" t="s">
        <v>187</v>
      </c>
      <c r="D327" s="182" t="s">
        <v>552</v>
      </c>
      <c r="E327" s="183" t="s">
        <v>207</v>
      </c>
      <c r="F327" s="184">
        <f>867180+466944</f>
        <v>1334124</v>
      </c>
      <c r="G327" s="184">
        <v>0</v>
      </c>
      <c r="H327" s="184">
        <v>0</v>
      </c>
      <c r="L327" s="194"/>
    </row>
    <row r="328" spans="1:8" ht="18" customHeight="1" hidden="1">
      <c r="A328" s="199" t="s">
        <v>553</v>
      </c>
      <c r="B328" s="182" t="s">
        <v>269</v>
      </c>
      <c r="C328" s="182" t="s">
        <v>187</v>
      </c>
      <c r="D328" s="182" t="s">
        <v>554</v>
      </c>
      <c r="E328" s="183"/>
      <c r="F328" s="184">
        <f aca="true" t="shared" si="42" ref="F328:H329">F329</f>
        <v>0</v>
      </c>
      <c r="G328" s="184">
        <f t="shared" si="42"/>
        <v>0</v>
      </c>
      <c r="H328" s="184">
        <f t="shared" si="42"/>
        <v>0</v>
      </c>
    </row>
    <row r="329" spans="1:8" ht="54.75" customHeight="1" hidden="1">
      <c r="A329" s="200" t="s">
        <v>555</v>
      </c>
      <c r="B329" s="182" t="s">
        <v>269</v>
      </c>
      <c r="C329" s="182" t="s">
        <v>187</v>
      </c>
      <c r="D329" s="204" t="s">
        <v>556</v>
      </c>
      <c r="E329" s="183"/>
      <c r="F329" s="184">
        <f t="shared" si="42"/>
        <v>0</v>
      </c>
      <c r="G329" s="184">
        <f t="shared" si="42"/>
        <v>0</v>
      </c>
      <c r="H329" s="184">
        <f t="shared" si="42"/>
        <v>0</v>
      </c>
    </row>
    <row r="330" spans="1:8" ht="19.5" customHeight="1" hidden="1">
      <c r="A330" s="192" t="s">
        <v>206</v>
      </c>
      <c r="B330" s="182" t="s">
        <v>269</v>
      </c>
      <c r="C330" s="182" t="s">
        <v>187</v>
      </c>
      <c r="D330" s="204" t="s">
        <v>556</v>
      </c>
      <c r="E330" s="183" t="s">
        <v>207</v>
      </c>
      <c r="F330" s="184"/>
      <c r="G330" s="184">
        <v>0</v>
      </c>
      <c r="H330" s="184">
        <v>0</v>
      </c>
    </row>
    <row r="331" spans="1:8" ht="49.5" customHeight="1">
      <c r="A331" s="199" t="s">
        <v>557</v>
      </c>
      <c r="B331" s="182" t="s">
        <v>269</v>
      </c>
      <c r="C331" s="182" t="s">
        <v>187</v>
      </c>
      <c r="D331" s="182" t="s">
        <v>558</v>
      </c>
      <c r="E331" s="183"/>
      <c r="F331" s="184">
        <f>F332</f>
        <v>2781472</v>
      </c>
      <c r="G331" s="184">
        <f>G332</f>
        <v>2781472</v>
      </c>
      <c r="H331" s="184">
        <f>H332</f>
        <v>3359781</v>
      </c>
    </row>
    <row r="332" spans="1:8" ht="30.75" customHeight="1">
      <c r="A332" s="192" t="s">
        <v>194</v>
      </c>
      <c r="B332" s="182" t="s">
        <v>269</v>
      </c>
      <c r="C332" s="182" t="s">
        <v>187</v>
      </c>
      <c r="D332" s="182" t="s">
        <v>558</v>
      </c>
      <c r="E332" s="183" t="s">
        <v>195</v>
      </c>
      <c r="F332" s="184">
        <v>2781472</v>
      </c>
      <c r="G332" s="184">
        <v>2781472</v>
      </c>
      <c r="H332" s="184">
        <v>3359781</v>
      </c>
    </row>
    <row r="333" spans="1:8" ht="30.75" customHeight="1">
      <c r="A333" s="199" t="s">
        <v>559</v>
      </c>
      <c r="B333" s="182" t="s">
        <v>269</v>
      </c>
      <c r="C333" s="182" t="s">
        <v>187</v>
      </c>
      <c r="D333" s="182" t="s">
        <v>560</v>
      </c>
      <c r="E333" s="183"/>
      <c r="F333" s="184">
        <f>F344+F351+F353+F355+F357+F360+F364+F347+F349+F366+F334+F338+F340+F342+F336</f>
        <v>376966253</v>
      </c>
      <c r="G333" s="184">
        <f>G344+G351+G353+G355+G357+G360+G364+G347+G349+G366+G334+G338+G340+G342+G336</f>
        <v>483640053</v>
      </c>
      <c r="H333" s="184">
        <f>H344+H351+H353+H355+H357+H360+H364+H347+H349+H366+H334+H338+H340+H342+H336</f>
        <v>512128532</v>
      </c>
    </row>
    <row r="334" spans="1:8" ht="42.75" customHeight="1">
      <c r="A334" s="200" t="s">
        <v>561</v>
      </c>
      <c r="B334" s="182" t="s">
        <v>269</v>
      </c>
      <c r="C334" s="182" t="s">
        <v>187</v>
      </c>
      <c r="D334" s="182" t="s">
        <v>562</v>
      </c>
      <c r="E334" s="183"/>
      <c r="F334" s="184">
        <f>F335</f>
        <v>8350726</v>
      </c>
      <c r="G334" s="184">
        <f>G335</f>
        <v>7927843</v>
      </c>
      <c r="H334" s="184">
        <f>H335</f>
        <v>7708038</v>
      </c>
    </row>
    <row r="335" spans="1:8" ht="25.5" customHeight="1">
      <c r="A335" s="192" t="s">
        <v>206</v>
      </c>
      <c r="B335" s="182" t="s">
        <v>269</v>
      </c>
      <c r="C335" s="182" t="s">
        <v>187</v>
      </c>
      <c r="D335" s="182" t="s">
        <v>562</v>
      </c>
      <c r="E335" s="183" t="s">
        <v>207</v>
      </c>
      <c r="F335" s="184">
        <f>7265132+1085594</f>
        <v>8350726</v>
      </c>
      <c r="G335" s="184">
        <f>6897223+1030620</f>
        <v>7927843</v>
      </c>
      <c r="H335" s="184">
        <f>6705993+1002045</f>
        <v>7708038</v>
      </c>
    </row>
    <row r="336" spans="1:8" ht="18.75" customHeight="1">
      <c r="A336" s="192" t="s">
        <v>563</v>
      </c>
      <c r="B336" s="182" t="s">
        <v>269</v>
      </c>
      <c r="C336" s="182" t="s">
        <v>187</v>
      </c>
      <c r="D336" s="182" t="s">
        <v>564</v>
      </c>
      <c r="E336" s="183"/>
      <c r="F336" s="184">
        <f>F337</f>
        <v>0</v>
      </c>
      <c r="G336" s="184">
        <f>G337</f>
        <v>130086794</v>
      </c>
      <c r="H336" s="184">
        <f>H337</f>
        <v>174748342</v>
      </c>
    </row>
    <row r="337" spans="1:8" ht="18.75" customHeight="1">
      <c r="A337" s="192" t="s">
        <v>206</v>
      </c>
      <c r="B337" s="182" t="s">
        <v>269</v>
      </c>
      <c r="C337" s="182" t="s">
        <v>187</v>
      </c>
      <c r="D337" s="182" t="s">
        <v>564</v>
      </c>
      <c r="E337" s="183" t="s">
        <v>207</v>
      </c>
      <c r="F337" s="184">
        <v>0</v>
      </c>
      <c r="G337" s="184">
        <v>130086794</v>
      </c>
      <c r="H337" s="184">
        <v>174748342</v>
      </c>
    </row>
    <row r="338" spans="1:8" ht="68.25" customHeight="1">
      <c r="A338" s="199" t="s">
        <v>565</v>
      </c>
      <c r="B338" s="182" t="s">
        <v>269</v>
      </c>
      <c r="C338" s="182" t="s">
        <v>187</v>
      </c>
      <c r="D338" s="182" t="s">
        <v>566</v>
      </c>
      <c r="E338" s="183"/>
      <c r="F338" s="184">
        <f>F339</f>
        <v>16327080</v>
      </c>
      <c r="G338" s="184">
        <f>G339</f>
        <v>16327080</v>
      </c>
      <c r="H338" s="184">
        <f>H339</f>
        <v>16327080</v>
      </c>
    </row>
    <row r="339" spans="1:8" ht="43.5" customHeight="1">
      <c r="A339" s="192" t="s">
        <v>194</v>
      </c>
      <c r="B339" s="182" t="s">
        <v>269</v>
      </c>
      <c r="C339" s="182" t="s">
        <v>187</v>
      </c>
      <c r="D339" s="182" t="s">
        <v>566</v>
      </c>
      <c r="E339" s="183" t="s">
        <v>195</v>
      </c>
      <c r="F339" s="184">
        <v>16327080</v>
      </c>
      <c r="G339" s="184">
        <v>16327080</v>
      </c>
      <c r="H339" s="184">
        <v>16327080</v>
      </c>
    </row>
    <row r="340" spans="1:8" ht="38.25" hidden="1">
      <c r="A340" s="200" t="s">
        <v>567</v>
      </c>
      <c r="B340" s="182" t="s">
        <v>269</v>
      </c>
      <c r="C340" s="182" t="s">
        <v>187</v>
      </c>
      <c r="D340" s="182" t="s">
        <v>568</v>
      </c>
      <c r="E340" s="183"/>
      <c r="F340" s="184">
        <f>F341</f>
        <v>0</v>
      </c>
      <c r="G340" s="184">
        <f>G341</f>
        <v>0</v>
      </c>
      <c r="H340" s="184">
        <f>H341</f>
        <v>0</v>
      </c>
    </row>
    <row r="341" spans="1:8" ht="25.5" hidden="1">
      <c r="A341" s="192" t="s">
        <v>206</v>
      </c>
      <c r="B341" s="182" t="s">
        <v>269</v>
      </c>
      <c r="C341" s="182" t="s">
        <v>187</v>
      </c>
      <c r="D341" s="182" t="s">
        <v>568</v>
      </c>
      <c r="E341" s="183" t="s">
        <v>207</v>
      </c>
      <c r="F341" s="184"/>
      <c r="G341" s="184"/>
      <c r="H341" s="184"/>
    </row>
    <row r="342" spans="1:8" ht="25.5" hidden="1">
      <c r="A342" s="200" t="s">
        <v>569</v>
      </c>
      <c r="B342" s="182" t="s">
        <v>269</v>
      </c>
      <c r="C342" s="182" t="s">
        <v>187</v>
      </c>
      <c r="D342" s="182" t="s">
        <v>570</v>
      </c>
      <c r="E342" s="183"/>
      <c r="F342" s="184">
        <f>F343</f>
        <v>0</v>
      </c>
      <c r="G342" s="184">
        <f>G343</f>
        <v>0</v>
      </c>
      <c r="H342" s="184">
        <f>H343</f>
        <v>0</v>
      </c>
    </row>
    <row r="343" spans="1:8" ht="25.5" hidden="1">
      <c r="A343" s="192" t="s">
        <v>206</v>
      </c>
      <c r="B343" s="182" t="s">
        <v>269</v>
      </c>
      <c r="C343" s="182" t="s">
        <v>187</v>
      </c>
      <c r="D343" s="182" t="s">
        <v>570</v>
      </c>
      <c r="E343" s="183" t="s">
        <v>207</v>
      </c>
      <c r="F343" s="184"/>
      <c r="G343" s="184"/>
      <c r="H343" s="184"/>
    </row>
    <row r="344" spans="1:8" ht="66.75" customHeight="1">
      <c r="A344" s="200" t="s">
        <v>571</v>
      </c>
      <c r="B344" s="182" t="s">
        <v>269</v>
      </c>
      <c r="C344" s="182" t="s">
        <v>187</v>
      </c>
      <c r="D344" s="182" t="s">
        <v>572</v>
      </c>
      <c r="E344" s="183"/>
      <c r="F344" s="184">
        <f>F345+F346</f>
        <v>293383485</v>
      </c>
      <c r="G344" s="184">
        <f>G345+G346</f>
        <v>278439843</v>
      </c>
      <c r="H344" s="184">
        <f>H345+H346</f>
        <v>262486579</v>
      </c>
    </row>
    <row r="345" spans="1:8" ht="42.75" customHeight="1">
      <c r="A345" s="192" t="s">
        <v>194</v>
      </c>
      <c r="B345" s="182" t="s">
        <v>269</v>
      </c>
      <c r="C345" s="182" t="s">
        <v>187</v>
      </c>
      <c r="D345" s="182" t="s">
        <v>572</v>
      </c>
      <c r="E345" s="183" t="s">
        <v>195</v>
      </c>
      <c r="F345" s="184">
        <v>286891189</v>
      </c>
      <c r="G345" s="184">
        <v>271947547</v>
      </c>
      <c r="H345" s="184">
        <v>255994283</v>
      </c>
    </row>
    <row r="346" spans="1:8" ht="17.25" customHeight="1">
      <c r="A346" s="192" t="s">
        <v>206</v>
      </c>
      <c r="B346" s="182" t="s">
        <v>269</v>
      </c>
      <c r="C346" s="182" t="s">
        <v>187</v>
      </c>
      <c r="D346" s="182" t="s">
        <v>572</v>
      </c>
      <c r="E346" s="183" t="s">
        <v>207</v>
      </c>
      <c r="F346" s="184">
        <v>6492296</v>
      </c>
      <c r="G346" s="184">
        <v>6492296</v>
      </c>
      <c r="H346" s="184">
        <v>6492296</v>
      </c>
    </row>
    <row r="347" spans="1:8" ht="18" customHeight="1" hidden="1">
      <c r="A347" s="200" t="s">
        <v>535</v>
      </c>
      <c r="B347" s="182" t="s">
        <v>269</v>
      </c>
      <c r="C347" s="182" t="s">
        <v>187</v>
      </c>
      <c r="D347" s="182" t="s">
        <v>573</v>
      </c>
      <c r="E347" s="183"/>
      <c r="F347" s="184">
        <f>F348</f>
        <v>0</v>
      </c>
      <c r="G347" s="184">
        <f>G348</f>
        <v>0</v>
      </c>
      <c r="H347" s="184">
        <f>H348</f>
        <v>0</v>
      </c>
    </row>
    <row r="348" spans="1:8" ht="18" customHeight="1" hidden="1">
      <c r="A348" s="192" t="s">
        <v>206</v>
      </c>
      <c r="B348" s="182" t="s">
        <v>269</v>
      </c>
      <c r="C348" s="182" t="s">
        <v>187</v>
      </c>
      <c r="D348" s="182" t="s">
        <v>573</v>
      </c>
      <c r="E348" s="183" t="s">
        <v>207</v>
      </c>
      <c r="F348" s="184"/>
      <c r="G348" s="184"/>
      <c r="H348" s="184"/>
    </row>
    <row r="349" spans="1:8" ht="25.5" hidden="1">
      <c r="A349" s="200" t="s">
        <v>537</v>
      </c>
      <c r="B349" s="182" t="s">
        <v>269</v>
      </c>
      <c r="C349" s="182" t="s">
        <v>187</v>
      </c>
      <c r="D349" s="182" t="s">
        <v>574</v>
      </c>
      <c r="E349" s="183"/>
      <c r="F349" s="184">
        <f>F350</f>
        <v>0</v>
      </c>
      <c r="G349" s="184">
        <f>G350</f>
        <v>0</v>
      </c>
      <c r="H349" s="184">
        <f>H350</f>
        <v>0</v>
      </c>
    </row>
    <row r="350" spans="1:8" ht="25.5" hidden="1">
      <c r="A350" s="192" t="s">
        <v>206</v>
      </c>
      <c r="B350" s="182" t="s">
        <v>269</v>
      </c>
      <c r="C350" s="182" t="s">
        <v>187</v>
      </c>
      <c r="D350" s="182" t="s">
        <v>574</v>
      </c>
      <c r="E350" s="183" t="s">
        <v>207</v>
      </c>
      <c r="F350" s="184"/>
      <c r="G350" s="184"/>
      <c r="H350" s="184"/>
    </row>
    <row r="351" spans="1:8" ht="29.25" customHeight="1">
      <c r="A351" s="200" t="s">
        <v>575</v>
      </c>
      <c r="B351" s="182" t="s">
        <v>269</v>
      </c>
      <c r="C351" s="182" t="s">
        <v>187</v>
      </c>
      <c r="D351" s="182" t="s">
        <v>576</v>
      </c>
      <c r="E351" s="183"/>
      <c r="F351" s="184">
        <f>F352</f>
        <v>805802</v>
      </c>
      <c r="G351" s="184">
        <f>G352</f>
        <v>805802</v>
      </c>
      <c r="H351" s="184">
        <f>H352</f>
        <v>805802</v>
      </c>
    </row>
    <row r="352" spans="1:8" ht="18" customHeight="1">
      <c r="A352" s="192" t="s">
        <v>206</v>
      </c>
      <c r="B352" s="182" t="s">
        <v>269</v>
      </c>
      <c r="C352" s="182" t="s">
        <v>187</v>
      </c>
      <c r="D352" s="182" t="s">
        <v>576</v>
      </c>
      <c r="E352" s="183" t="s">
        <v>207</v>
      </c>
      <c r="F352" s="184">
        <v>805802</v>
      </c>
      <c r="G352" s="184">
        <v>805802</v>
      </c>
      <c r="H352" s="184">
        <v>805802</v>
      </c>
    </row>
    <row r="353" spans="1:8" ht="45" customHeight="1">
      <c r="A353" s="200" t="s">
        <v>577</v>
      </c>
      <c r="B353" s="182" t="s">
        <v>269</v>
      </c>
      <c r="C353" s="182" t="s">
        <v>187</v>
      </c>
      <c r="D353" s="182" t="s">
        <v>578</v>
      </c>
      <c r="E353" s="183"/>
      <c r="F353" s="184">
        <f>F354</f>
        <v>1977583</v>
      </c>
      <c r="G353" s="184">
        <f>G354</f>
        <v>1977583</v>
      </c>
      <c r="H353" s="184">
        <f>H354</f>
        <v>1977583</v>
      </c>
    </row>
    <row r="354" spans="1:8" ht="25.5" customHeight="1">
      <c r="A354" s="192" t="s">
        <v>206</v>
      </c>
      <c r="B354" s="182" t="s">
        <v>269</v>
      </c>
      <c r="C354" s="182" t="s">
        <v>187</v>
      </c>
      <c r="D354" s="182" t="s">
        <v>578</v>
      </c>
      <c r="E354" s="183" t="s">
        <v>207</v>
      </c>
      <c r="F354" s="184">
        <f>1977583</f>
        <v>1977583</v>
      </c>
      <c r="G354" s="184">
        <f>1977583</f>
        <v>1977583</v>
      </c>
      <c r="H354" s="184">
        <f>1977583</f>
        <v>1977583</v>
      </c>
    </row>
    <row r="355" spans="1:8" ht="38.25">
      <c r="A355" s="200" t="s">
        <v>579</v>
      </c>
      <c r="B355" s="182" t="s">
        <v>269</v>
      </c>
      <c r="C355" s="182" t="s">
        <v>187</v>
      </c>
      <c r="D355" s="182" t="s">
        <v>580</v>
      </c>
      <c r="E355" s="183"/>
      <c r="F355" s="184">
        <f>F356</f>
        <v>656772</v>
      </c>
      <c r="G355" s="184">
        <f>G356</f>
        <v>656772</v>
      </c>
      <c r="H355" s="184">
        <f>H356</f>
        <v>656772</v>
      </c>
    </row>
    <row r="356" spans="1:8" ht="21.75" customHeight="1">
      <c r="A356" s="192" t="s">
        <v>206</v>
      </c>
      <c r="B356" s="182" t="s">
        <v>269</v>
      </c>
      <c r="C356" s="182" t="s">
        <v>187</v>
      </c>
      <c r="D356" s="182" t="s">
        <v>580</v>
      </c>
      <c r="E356" s="183" t="s">
        <v>207</v>
      </c>
      <c r="F356" s="184">
        <v>656772</v>
      </c>
      <c r="G356" s="184">
        <v>656772</v>
      </c>
      <c r="H356" s="184">
        <v>656772</v>
      </c>
    </row>
    <row r="357" spans="1:8" ht="38.25">
      <c r="A357" s="200" t="s">
        <v>581</v>
      </c>
      <c r="B357" s="182" t="s">
        <v>269</v>
      </c>
      <c r="C357" s="182" t="s">
        <v>187</v>
      </c>
      <c r="D357" s="182" t="s">
        <v>582</v>
      </c>
      <c r="E357" s="183"/>
      <c r="F357" s="184">
        <f>F358+F359</f>
        <v>6438756</v>
      </c>
      <c r="G357" s="184">
        <f>G358+G359</f>
        <v>6438756</v>
      </c>
      <c r="H357" s="184">
        <f>H358+H359</f>
        <v>6438756</v>
      </c>
    </row>
    <row r="358" spans="1:8" ht="30.75" customHeight="1">
      <c r="A358" s="192" t="s">
        <v>206</v>
      </c>
      <c r="B358" s="182" t="s">
        <v>269</v>
      </c>
      <c r="C358" s="182" t="s">
        <v>187</v>
      </c>
      <c r="D358" s="182" t="s">
        <v>582</v>
      </c>
      <c r="E358" s="183" t="s">
        <v>207</v>
      </c>
      <c r="F358" s="184">
        <f>6438756</f>
        <v>6438756</v>
      </c>
      <c r="G358" s="184">
        <f>6438756</f>
        <v>6438756</v>
      </c>
      <c r="H358" s="184">
        <f>6438756</f>
        <v>6438756</v>
      </c>
    </row>
    <row r="359" spans="1:8" ht="15" hidden="1">
      <c r="A359" s="223" t="s">
        <v>244</v>
      </c>
      <c r="B359" s="182" t="s">
        <v>269</v>
      </c>
      <c r="C359" s="182" t="s">
        <v>187</v>
      </c>
      <c r="D359" s="182" t="s">
        <v>582</v>
      </c>
      <c r="E359" s="183" t="s">
        <v>245</v>
      </c>
      <c r="F359" s="184"/>
      <c r="G359" s="184"/>
      <c r="H359" s="184"/>
    </row>
    <row r="360" spans="1:8" ht="15.75" customHeight="1">
      <c r="A360" s="199" t="s">
        <v>366</v>
      </c>
      <c r="B360" s="182" t="s">
        <v>269</v>
      </c>
      <c r="C360" s="182" t="s">
        <v>187</v>
      </c>
      <c r="D360" s="182" t="s">
        <v>583</v>
      </c>
      <c r="E360" s="183"/>
      <c r="F360" s="184">
        <f>F361+F363+F362</f>
        <v>28904941</v>
      </c>
      <c r="G360" s="184">
        <f>G361+G363+G362</f>
        <v>28904941</v>
      </c>
      <c r="H360" s="184">
        <f>H361+H363+H362</f>
        <v>28904941</v>
      </c>
    </row>
    <row r="361" spans="1:8" ht="18" customHeight="1">
      <c r="A361" s="192" t="s">
        <v>206</v>
      </c>
      <c r="B361" s="182" t="s">
        <v>269</v>
      </c>
      <c r="C361" s="182" t="s">
        <v>187</v>
      </c>
      <c r="D361" s="182" t="s">
        <v>583</v>
      </c>
      <c r="E361" s="183" t="s">
        <v>207</v>
      </c>
      <c r="F361" s="184">
        <v>26504900</v>
      </c>
      <c r="G361" s="184">
        <v>26504900</v>
      </c>
      <c r="H361" s="184">
        <v>26504900</v>
      </c>
    </row>
    <row r="362" spans="1:8" ht="15" hidden="1">
      <c r="A362" s="199" t="s">
        <v>429</v>
      </c>
      <c r="B362" s="182" t="s">
        <v>269</v>
      </c>
      <c r="C362" s="182" t="s">
        <v>187</v>
      </c>
      <c r="D362" s="182" t="s">
        <v>583</v>
      </c>
      <c r="E362" s="183" t="s">
        <v>430</v>
      </c>
      <c r="F362" s="184"/>
      <c r="G362" s="184"/>
      <c r="H362" s="184"/>
    </row>
    <row r="363" spans="1:8" ht="15">
      <c r="A363" s="199" t="s">
        <v>274</v>
      </c>
      <c r="B363" s="182" t="s">
        <v>269</v>
      </c>
      <c r="C363" s="182" t="s">
        <v>187</v>
      </c>
      <c r="D363" s="182" t="s">
        <v>583</v>
      </c>
      <c r="E363" s="183" t="s">
        <v>275</v>
      </c>
      <c r="F363" s="184">
        <f>2293696+106345</f>
        <v>2400041</v>
      </c>
      <c r="G363" s="184">
        <f>2293696+106345</f>
        <v>2400041</v>
      </c>
      <c r="H363" s="184">
        <f>2293696+106345</f>
        <v>2400041</v>
      </c>
    </row>
    <row r="364" spans="1:8" ht="15">
      <c r="A364" s="192" t="s">
        <v>584</v>
      </c>
      <c r="B364" s="182" t="s">
        <v>269</v>
      </c>
      <c r="C364" s="182" t="s">
        <v>187</v>
      </c>
      <c r="D364" s="182" t="s">
        <v>585</v>
      </c>
      <c r="E364" s="183"/>
      <c r="F364" s="184">
        <f>F365</f>
        <v>100000</v>
      </c>
      <c r="G364" s="184">
        <f>G365</f>
        <v>100000</v>
      </c>
      <c r="H364" s="184">
        <f>H365</f>
        <v>100000</v>
      </c>
    </row>
    <row r="365" spans="1:8" ht="22.5" customHeight="1">
      <c r="A365" s="192" t="s">
        <v>206</v>
      </c>
      <c r="B365" s="182" t="s">
        <v>269</v>
      </c>
      <c r="C365" s="182" t="s">
        <v>187</v>
      </c>
      <c r="D365" s="182" t="s">
        <v>585</v>
      </c>
      <c r="E365" s="183" t="s">
        <v>245</v>
      </c>
      <c r="F365" s="184">
        <v>100000</v>
      </c>
      <c r="G365" s="184">
        <v>100000</v>
      </c>
      <c r="H365" s="184">
        <v>100000</v>
      </c>
    </row>
    <row r="366" spans="1:8" ht="25.5">
      <c r="A366" s="199" t="s">
        <v>540</v>
      </c>
      <c r="B366" s="182" t="s">
        <v>269</v>
      </c>
      <c r="C366" s="182" t="s">
        <v>187</v>
      </c>
      <c r="D366" s="182" t="s">
        <v>541</v>
      </c>
      <c r="E366" s="183"/>
      <c r="F366" s="184">
        <f>F367+F370+F372+F374</f>
        <v>20021108</v>
      </c>
      <c r="G366" s="184">
        <f>G367+G370+G372+G374</f>
        <v>11974639</v>
      </c>
      <c r="H366" s="184">
        <f>H367+H370+H372+H374</f>
        <v>11974639</v>
      </c>
    </row>
    <row r="367" spans="1:8" ht="38.25">
      <c r="A367" s="199" t="s">
        <v>542</v>
      </c>
      <c r="B367" s="182" t="s">
        <v>269</v>
      </c>
      <c r="C367" s="182" t="s">
        <v>187</v>
      </c>
      <c r="D367" s="182" t="s">
        <v>543</v>
      </c>
      <c r="E367" s="183"/>
      <c r="F367" s="184">
        <f>F368+F369</f>
        <v>19576812</v>
      </c>
      <c r="G367" s="184">
        <f>G368+G369</f>
        <v>11547112</v>
      </c>
      <c r="H367" s="184">
        <f>H368+H369</f>
        <v>11547112</v>
      </c>
    </row>
    <row r="368" spans="1:8" ht="38.25">
      <c r="A368" s="192" t="s">
        <v>194</v>
      </c>
      <c r="B368" s="182" t="s">
        <v>269</v>
      </c>
      <c r="C368" s="182" t="s">
        <v>187</v>
      </c>
      <c r="D368" s="182" t="s">
        <v>543</v>
      </c>
      <c r="E368" s="183" t="s">
        <v>195</v>
      </c>
      <c r="F368" s="184">
        <v>13708812</v>
      </c>
      <c r="G368" s="184">
        <v>8084992</v>
      </c>
      <c r="H368" s="184">
        <v>8084992</v>
      </c>
    </row>
    <row r="369" spans="1:8" ht="15">
      <c r="A369" s="223" t="s">
        <v>244</v>
      </c>
      <c r="B369" s="182" t="s">
        <v>269</v>
      </c>
      <c r="C369" s="182" t="s">
        <v>187</v>
      </c>
      <c r="D369" s="182" t="s">
        <v>543</v>
      </c>
      <c r="E369" s="183" t="s">
        <v>245</v>
      </c>
      <c r="F369" s="184">
        <v>5868000</v>
      </c>
      <c r="G369" s="184">
        <v>3462120</v>
      </c>
      <c r="H369" s="184">
        <v>3462120</v>
      </c>
    </row>
    <row r="370" spans="1:8" ht="69" customHeight="1">
      <c r="A370" s="199" t="s">
        <v>586</v>
      </c>
      <c r="B370" s="182" t="s">
        <v>269</v>
      </c>
      <c r="C370" s="182" t="s">
        <v>187</v>
      </c>
      <c r="D370" s="182" t="s">
        <v>587</v>
      </c>
      <c r="E370" s="183"/>
      <c r="F370" s="184">
        <f>F371</f>
        <v>226766</v>
      </c>
      <c r="G370" s="184">
        <f>G371</f>
        <v>209997</v>
      </c>
      <c r="H370" s="184">
        <f>H371</f>
        <v>209997</v>
      </c>
    </row>
    <row r="371" spans="1:8" ht="21" customHeight="1">
      <c r="A371" s="192" t="s">
        <v>206</v>
      </c>
      <c r="B371" s="182" t="s">
        <v>269</v>
      </c>
      <c r="C371" s="182" t="s">
        <v>187</v>
      </c>
      <c r="D371" s="182" t="s">
        <v>587</v>
      </c>
      <c r="E371" s="183" t="s">
        <v>207</v>
      </c>
      <c r="F371" s="184">
        <v>226766</v>
      </c>
      <c r="G371" s="184">
        <v>209997</v>
      </c>
      <c r="H371" s="184">
        <v>209997</v>
      </c>
    </row>
    <row r="372" spans="1:8" ht="29.25" customHeight="1">
      <c r="A372" s="192" t="s">
        <v>588</v>
      </c>
      <c r="B372" s="182" t="s">
        <v>269</v>
      </c>
      <c r="C372" s="182" t="s">
        <v>187</v>
      </c>
      <c r="D372" s="182" t="s">
        <v>589</v>
      </c>
      <c r="E372" s="183"/>
      <c r="F372" s="184">
        <f>F373</f>
        <v>11249</v>
      </c>
      <c r="G372" s="184">
        <f>G373</f>
        <v>11249</v>
      </c>
      <c r="H372" s="184">
        <f>H373</f>
        <v>11249</v>
      </c>
    </row>
    <row r="373" spans="1:8" ht="43.5" customHeight="1">
      <c r="A373" s="192" t="s">
        <v>194</v>
      </c>
      <c r="B373" s="182" t="s">
        <v>269</v>
      </c>
      <c r="C373" s="182" t="s">
        <v>187</v>
      </c>
      <c r="D373" s="182" t="s">
        <v>589</v>
      </c>
      <c r="E373" s="183" t="s">
        <v>195</v>
      </c>
      <c r="F373" s="184">
        <v>11249</v>
      </c>
      <c r="G373" s="184">
        <v>11249</v>
      </c>
      <c r="H373" s="184">
        <v>11249</v>
      </c>
    </row>
    <row r="374" spans="1:8" ht="29.25" customHeight="1">
      <c r="A374" s="192" t="s">
        <v>590</v>
      </c>
      <c r="B374" s="182" t="s">
        <v>269</v>
      </c>
      <c r="C374" s="182" t="s">
        <v>187</v>
      </c>
      <c r="D374" s="182" t="s">
        <v>591</v>
      </c>
      <c r="E374" s="183"/>
      <c r="F374" s="184">
        <f>F375</f>
        <v>206281</v>
      </c>
      <c r="G374" s="184">
        <f>G375</f>
        <v>206281</v>
      </c>
      <c r="H374" s="184">
        <f>H375</f>
        <v>206281</v>
      </c>
    </row>
    <row r="375" spans="1:8" ht="43.5" customHeight="1">
      <c r="A375" s="192" t="s">
        <v>194</v>
      </c>
      <c r="B375" s="182" t="s">
        <v>269</v>
      </c>
      <c r="C375" s="182" t="s">
        <v>187</v>
      </c>
      <c r="D375" s="182" t="s">
        <v>591</v>
      </c>
      <c r="E375" s="183" t="s">
        <v>195</v>
      </c>
      <c r="F375" s="184">
        <f>206281</f>
        <v>206281</v>
      </c>
      <c r="G375" s="184">
        <f>206281</f>
        <v>206281</v>
      </c>
      <c r="H375" s="184">
        <f>206281</f>
        <v>206281</v>
      </c>
    </row>
    <row r="376" spans="1:8" ht="71.25" customHeight="1">
      <c r="A376" s="226" t="s">
        <v>592</v>
      </c>
      <c r="B376" s="182" t="s">
        <v>269</v>
      </c>
      <c r="C376" s="182" t="s">
        <v>187</v>
      </c>
      <c r="D376" s="182" t="s">
        <v>593</v>
      </c>
      <c r="E376" s="183"/>
      <c r="F376" s="184">
        <f>F377</f>
        <v>6120000</v>
      </c>
      <c r="G376" s="184">
        <f aca="true" t="shared" si="43" ref="G376:H378">G377</f>
        <v>0</v>
      </c>
      <c r="H376" s="184">
        <f t="shared" si="43"/>
        <v>0</v>
      </c>
    </row>
    <row r="377" spans="1:8" ht="43.5" customHeight="1">
      <c r="A377" s="199" t="s">
        <v>594</v>
      </c>
      <c r="B377" s="182" t="s">
        <v>269</v>
      </c>
      <c r="C377" s="182" t="s">
        <v>187</v>
      </c>
      <c r="D377" s="182" t="s">
        <v>595</v>
      </c>
      <c r="E377" s="183"/>
      <c r="F377" s="184">
        <f>F378</f>
        <v>6120000</v>
      </c>
      <c r="G377" s="184">
        <f t="shared" si="43"/>
        <v>0</v>
      </c>
      <c r="H377" s="184">
        <f t="shared" si="43"/>
        <v>0</v>
      </c>
    </row>
    <row r="378" spans="1:8" ht="22.5" customHeight="1">
      <c r="A378" s="192" t="s">
        <v>366</v>
      </c>
      <c r="B378" s="182" t="s">
        <v>269</v>
      </c>
      <c r="C378" s="182" t="s">
        <v>187</v>
      </c>
      <c r="D378" s="182" t="s">
        <v>596</v>
      </c>
      <c r="E378" s="183"/>
      <c r="F378" s="184">
        <f>F379</f>
        <v>6120000</v>
      </c>
      <c r="G378" s="184">
        <f t="shared" si="43"/>
        <v>0</v>
      </c>
      <c r="H378" s="184">
        <f t="shared" si="43"/>
        <v>0</v>
      </c>
    </row>
    <row r="379" spans="1:8" ht="25.5" customHeight="1">
      <c r="A379" s="192" t="s">
        <v>429</v>
      </c>
      <c r="B379" s="182" t="s">
        <v>269</v>
      </c>
      <c r="C379" s="182" t="s">
        <v>187</v>
      </c>
      <c r="D379" s="182" t="s">
        <v>596</v>
      </c>
      <c r="E379" s="183" t="s">
        <v>430</v>
      </c>
      <c r="F379" s="184">
        <v>6120000</v>
      </c>
      <c r="G379" s="184">
        <v>0</v>
      </c>
      <c r="H379" s="184">
        <v>0</v>
      </c>
    </row>
    <row r="380" spans="1:8" ht="45" customHeight="1">
      <c r="A380" s="209" t="s">
        <v>327</v>
      </c>
      <c r="B380" s="182" t="s">
        <v>269</v>
      </c>
      <c r="C380" s="182" t="s">
        <v>187</v>
      </c>
      <c r="D380" s="207" t="s">
        <v>328</v>
      </c>
      <c r="E380" s="183"/>
      <c r="F380" s="184">
        <f>F381</f>
        <v>70400</v>
      </c>
      <c r="G380" s="184">
        <f>G381</f>
        <v>70400</v>
      </c>
      <c r="H380" s="184">
        <f>H381</f>
        <v>70400</v>
      </c>
    </row>
    <row r="381" spans="1:8" ht="65.25" customHeight="1">
      <c r="A381" s="211" t="s">
        <v>329</v>
      </c>
      <c r="B381" s="182" t="s">
        <v>269</v>
      </c>
      <c r="C381" s="182" t="s">
        <v>187</v>
      </c>
      <c r="D381" s="207" t="s">
        <v>330</v>
      </c>
      <c r="E381" s="183"/>
      <c r="F381" s="184">
        <f>F382+F385</f>
        <v>70400</v>
      </c>
      <c r="G381" s="184">
        <f>G382+G385</f>
        <v>70400</v>
      </c>
      <c r="H381" s="184">
        <f>H382+H385</f>
        <v>70400</v>
      </c>
    </row>
    <row r="382" spans="1:8" ht="25.5">
      <c r="A382" s="213" t="s">
        <v>331</v>
      </c>
      <c r="B382" s="182" t="s">
        <v>269</v>
      </c>
      <c r="C382" s="182" t="s">
        <v>187</v>
      </c>
      <c r="D382" s="207" t="s">
        <v>332</v>
      </c>
      <c r="E382" s="183"/>
      <c r="F382" s="184">
        <f aca="true" t="shared" si="44" ref="F382:H383">F383</f>
        <v>20000</v>
      </c>
      <c r="G382" s="184">
        <f t="shared" si="44"/>
        <v>20000</v>
      </c>
      <c r="H382" s="184">
        <f t="shared" si="44"/>
        <v>20000</v>
      </c>
    </row>
    <row r="383" spans="1:8" ht="25.5">
      <c r="A383" s="199" t="s">
        <v>333</v>
      </c>
      <c r="B383" s="182" t="s">
        <v>269</v>
      </c>
      <c r="C383" s="182" t="s">
        <v>187</v>
      </c>
      <c r="D383" s="207" t="s">
        <v>334</v>
      </c>
      <c r="E383" s="183"/>
      <c r="F383" s="184">
        <f t="shared" si="44"/>
        <v>20000</v>
      </c>
      <c r="G383" s="184">
        <f t="shared" si="44"/>
        <v>20000</v>
      </c>
      <c r="H383" s="184">
        <f t="shared" si="44"/>
        <v>20000</v>
      </c>
    </row>
    <row r="384" spans="1:8" ht="25.5">
      <c r="A384" s="192" t="s">
        <v>206</v>
      </c>
      <c r="B384" s="182" t="s">
        <v>269</v>
      </c>
      <c r="C384" s="182" t="s">
        <v>187</v>
      </c>
      <c r="D384" s="207" t="s">
        <v>334</v>
      </c>
      <c r="E384" s="183" t="s">
        <v>207</v>
      </c>
      <c r="F384" s="184">
        <v>20000</v>
      </c>
      <c r="G384" s="184">
        <v>20000</v>
      </c>
      <c r="H384" s="184">
        <v>20000</v>
      </c>
    </row>
    <row r="385" spans="1:8" ht="57" customHeight="1">
      <c r="A385" s="213" t="s">
        <v>597</v>
      </c>
      <c r="B385" s="182" t="s">
        <v>269</v>
      </c>
      <c r="C385" s="182" t="s">
        <v>187</v>
      </c>
      <c r="D385" s="207" t="s">
        <v>598</v>
      </c>
      <c r="E385" s="183"/>
      <c r="F385" s="184">
        <f aca="true" t="shared" si="45" ref="F385:H386">F386</f>
        <v>50400</v>
      </c>
      <c r="G385" s="184">
        <f t="shared" si="45"/>
        <v>50400</v>
      </c>
      <c r="H385" s="184">
        <f t="shared" si="45"/>
        <v>50400</v>
      </c>
    </row>
    <row r="386" spans="1:8" ht="26.25" customHeight="1">
      <c r="A386" s="199" t="s">
        <v>333</v>
      </c>
      <c r="B386" s="182" t="s">
        <v>269</v>
      </c>
      <c r="C386" s="182" t="s">
        <v>187</v>
      </c>
      <c r="D386" s="207" t="s">
        <v>599</v>
      </c>
      <c r="E386" s="183"/>
      <c r="F386" s="184">
        <f t="shared" si="45"/>
        <v>50400</v>
      </c>
      <c r="G386" s="184">
        <f t="shared" si="45"/>
        <v>50400</v>
      </c>
      <c r="H386" s="184">
        <f t="shared" si="45"/>
        <v>50400</v>
      </c>
    </row>
    <row r="387" spans="1:8" ht="23.25" customHeight="1">
      <c r="A387" s="192" t="s">
        <v>206</v>
      </c>
      <c r="B387" s="182" t="s">
        <v>269</v>
      </c>
      <c r="C387" s="182" t="s">
        <v>187</v>
      </c>
      <c r="D387" s="207" t="s">
        <v>599</v>
      </c>
      <c r="E387" s="183" t="s">
        <v>207</v>
      </c>
      <c r="F387" s="184">
        <v>50400</v>
      </c>
      <c r="G387" s="184">
        <v>50400</v>
      </c>
      <c r="H387" s="184">
        <v>50400</v>
      </c>
    </row>
    <row r="388" spans="1:8" ht="28.5" customHeight="1">
      <c r="A388" s="209" t="s">
        <v>600</v>
      </c>
      <c r="B388" s="182" t="s">
        <v>269</v>
      </c>
      <c r="C388" s="182" t="s">
        <v>187</v>
      </c>
      <c r="D388" s="182" t="s">
        <v>601</v>
      </c>
      <c r="E388" s="193"/>
      <c r="F388" s="184">
        <f aca="true" t="shared" si="46" ref="F388:H391">F389</f>
        <v>20000</v>
      </c>
      <c r="G388" s="184">
        <f t="shared" si="46"/>
        <v>20000</v>
      </c>
      <c r="H388" s="184">
        <f t="shared" si="46"/>
        <v>20000</v>
      </c>
    </row>
    <row r="389" spans="1:8" s="198" customFormat="1" ht="42.75" customHeight="1">
      <c r="A389" s="197" t="s">
        <v>602</v>
      </c>
      <c r="B389" s="182" t="s">
        <v>269</v>
      </c>
      <c r="C389" s="182" t="s">
        <v>187</v>
      </c>
      <c r="D389" s="182" t="s">
        <v>603</v>
      </c>
      <c r="E389" s="193"/>
      <c r="F389" s="184">
        <f t="shared" si="46"/>
        <v>20000</v>
      </c>
      <c r="G389" s="184">
        <f t="shared" si="46"/>
        <v>20000</v>
      </c>
      <c r="H389" s="184">
        <f t="shared" si="46"/>
        <v>20000</v>
      </c>
    </row>
    <row r="390" spans="1:8" ht="25.5">
      <c r="A390" s="200" t="s">
        <v>604</v>
      </c>
      <c r="B390" s="182" t="s">
        <v>269</v>
      </c>
      <c r="C390" s="182" t="s">
        <v>187</v>
      </c>
      <c r="D390" s="182" t="s">
        <v>605</v>
      </c>
      <c r="E390" s="193"/>
      <c r="F390" s="184">
        <f t="shared" si="46"/>
        <v>20000</v>
      </c>
      <c r="G390" s="184">
        <f t="shared" si="46"/>
        <v>20000</v>
      </c>
      <c r="H390" s="184">
        <f t="shared" si="46"/>
        <v>20000</v>
      </c>
    </row>
    <row r="391" spans="1:8" ht="15">
      <c r="A391" s="200" t="s">
        <v>606</v>
      </c>
      <c r="B391" s="182" t="s">
        <v>269</v>
      </c>
      <c r="C391" s="182" t="s">
        <v>187</v>
      </c>
      <c r="D391" s="182" t="s">
        <v>607</v>
      </c>
      <c r="E391" s="193"/>
      <c r="F391" s="184">
        <f t="shared" si="46"/>
        <v>20000</v>
      </c>
      <c r="G391" s="184">
        <f t="shared" si="46"/>
        <v>20000</v>
      </c>
      <c r="H391" s="184">
        <f t="shared" si="46"/>
        <v>20000</v>
      </c>
    </row>
    <row r="392" spans="1:8" ht="24" customHeight="1">
      <c r="A392" s="192" t="s">
        <v>206</v>
      </c>
      <c r="B392" s="182" t="s">
        <v>269</v>
      </c>
      <c r="C392" s="182" t="s">
        <v>187</v>
      </c>
      <c r="D392" s="182" t="s">
        <v>607</v>
      </c>
      <c r="E392" s="183" t="s">
        <v>207</v>
      </c>
      <c r="F392" s="184">
        <f>20000</f>
        <v>20000</v>
      </c>
      <c r="G392" s="184">
        <f>20000</f>
        <v>20000</v>
      </c>
      <c r="H392" s="184">
        <f>20000</f>
        <v>20000</v>
      </c>
    </row>
    <row r="393" spans="1:8" ht="24.75" customHeight="1">
      <c r="A393" s="192" t="s">
        <v>608</v>
      </c>
      <c r="B393" s="182" t="s">
        <v>269</v>
      </c>
      <c r="C393" s="182" t="s">
        <v>197</v>
      </c>
      <c r="D393" s="182"/>
      <c r="E393" s="183"/>
      <c r="F393" s="184">
        <f>F394</f>
        <v>50574096</v>
      </c>
      <c r="G393" s="184">
        <f>G394</f>
        <v>46837690</v>
      </c>
      <c r="H393" s="184">
        <f>H394</f>
        <v>47150232</v>
      </c>
    </row>
    <row r="394" spans="1:8" ht="38.25" customHeight="1">
      <c r="A394" s="199" t="s">
        <v>301</v>
      </c>
      <c r="B394" s="182" t="s">
        <v>269</v>
      </c>
      <c r="C394" s="182" t="s">
        <v>197</v>
      </c>
      <c r="D394" s="182" t="s">
        <v>302</v>
      </c>
      <c r="E394" s="183"/>
      <c r="F394" s="184">
        <f>F399+F395</f>
        <v>50574096</v>
      </c>
      <c r="G394" s="184">
        <f>G399+G395</f>
        <v>46837690</v>
      </c>
      <c r="H394" s="184">
        <f>H399+H395</f>
        <v>47150232</v>
      </c>
    </row>
    <row r="395" spans="1:8" ht="38.25">
      <c r="A395" s="197" t="s">
        <v>529</v>
      </c>
      <c r="B395" s="182" t="s">
        <v>269</v>
      </c>
      <c r="C395" s="182" t="s">
        <v>197</v>
      </c>
      <c r="D395" s="182" t="s">
        <v>530</v>
      </c>
      <c r="E395" s="183"/>
      <c r="F395" s="184">
        <f aca="true" t="shared" si="47" ref="F395:H397">F396</f>
        <v>29621689</v>
      </c>
      <c r="G395" s="184">
        <f t="shared" si="47"/>
        <v>29621689</v>
      </c>
      <c r="H395" s="184">
        <f t="shared" si="47"/>
        <v>29621689</v>
      </c>
    </row>
    <row r="396" spans="1:8" ht="25.5">
      <c r="A396" s="199" t="s">
        <v>559</v>
      </c>
      <c r="B396" s="182" t="s">
        <v>269</v>
      </c>
      <c r="C396" s="182" t="s">
        <v>197</v>
      </c>
      <c r="D396" s="182" t="s">
        <v>560</v>
      </c>
      <c r="E396" s="183"/>
      <c r="F396" s="184">
        <f t="shared" si="47"/>
        <v>29621689</v>
      </c>
      <c r="G396" s="184">
        <f t="shared" si="47"/>
        <v>29621689</v>
      </c>
      <c r="H396" s="184">
        <f t="shared" si="47"/>
        <v>29621689</v>
      </c>
    </row>
    <row r="397" spans="1:8" ht="63.75">
      <c r="A397" s="200" t="s">
        <v>571</v>
      </c>
      <c r="B397" s="182" t="s">
        <v>269</v>
      </c>
      <c r="C397" s="182" t="s">
        <v>197</v>
      </c>
      <c r="D397" s="182" t="s">
        <v>572</v>
      </c>
      <c r="E397" s="183"/>
      <c r="F397" s="184">
        <f t="shared" si="47"/>
        <v>29621689</v>
      </c>
      <c r="G397" s="184">
        <f t="shared" si="47"/>
        <v>29621689</v>
      </c>
      <c r="H397" s="184">
        <f t="shared" si="47"/>
        <v>29621689</v>
      </c>
    </row>
    <row r="398" spans="1:8" ht="38.25">
      <c r="A398" s="192" t="s">
        <v>194</v>
      </c>
      <c r="B398" s="182" t="s">
        <v>269</v>
      </c>
      <c r="C398" s="182" t="s">
        <v>197</v>
      </c>
      <c r="D398" s="182" t="s">
        <v>572</v>
      </c>
      <c r="E398" s="183" t="s">
        <v>195</v>
      </c>
      <c r="F398" s="184">
        <v>29621689</v>
      </c>
      <c r="G398" s="184">
        <v>29621689</v>
      </c>
      <c r="H398" s="184">
        <v>29621689</v>
      </c>
    </row>
    <row r="399" spans="1:8" s="198" customFormat="1" ht="40.5" customHeight="1">
      <c r="A399" s="192" t="s">
        <v>609</v>
      </c>
      <c r="B399" s="182" t="s">
        <v>269</v>
      </c>
      <c r="C399" s="182" t="s">
        <v>197</v>
      </c>
      <c r="D399" s="182" t="s">
        <v>610</v>
      </c>
      <c r="E399" s="183"/>
      <c r="F399" s="184">
        <f>F400+F406</f>
        <v>20952407</v>
      </c>
      <c r="G399" s="184">
        <f>G400+G406</f>
        <v>17216001</v>
      </c>
      <c r="H399" s="184">
        <f>H400+H406</f>
        <v>17528543</v>
      </c>
    </row>
    <row r="400" spans="1:8" ht="25.5">
      <c r="A400" s="199" t="s">
        <v>611</v>
      </c>
      <c r="B400" s="182" t="s">
        <v>269</v>
      </c>
      <c r="C400" s="182" t="s">
        <v>197</v>
      </c>
      <c r="D400" s="182" t="s">
        <v>612</v>
      </c>
      <c r="E400" s="183"/>
      <c r="F400" s="184">
        <f>F401</f>
        <v>19800360</v>
      </c>
      <c r="G400" s="184">
        <f>G401</f>
        <v>16551716</v>
      </c>
      <c r="H400" s="184">
        <f>H401</f>
        <v>16864258</v>
      </c>
    </row>
    <row r="401" spans="1:8" ht="21.75" customHeight="1">
      <c r="A401" s="199" t="s">
        <v>366</v>
      </c>
      <c r="B401" s="182" t="s">
        <v>269</v>
      </c>
      <c r="C401" s="182" t="s">
        <v>197</v>
      </c>
      <c r="D401" s="182" t="s">
        <v>613</v>
      </c>
      <c r="E401" s="183"/>
      <c r="F401" s="184">
        <f>F402+F403+F404+F405</f>
        <v>19800360</v>
      </c>
      <c r="G401" s="184">
        <f>G402+G403+G404+G405</f>
        <v>16551716</v>
      </c>
      <c r="H401" s="184">
        <f>H402+H403+H404+H405</f>
        <v>16864258</v>
      </c>
    </row>
    <row r="402" spans="1:8" ht="38.25" hidden="1">
      <c r="A402" s="192" t="s">
        <v>194</v>
      </c>
      <c r="B402" s="182" t="s">
        <v>269</v>
      </c>
      <c r="C402" s="182" t="s">
        <v>197</v>
      </c>
      <c r="D402" s="182" t="s">
        <v>613</v>
      </c>
      <c r="E402" s="183" t="s">
        <v>195</v>
      </c>
      <c r="F402" s="184"/>
      <c r="G402" s="184"/>
      <c r="H402" s="184"/>
    </row>
    <row r="403" spans="1:8" ht="25.5" hidden="1">
      <c r="A403" s="192" t="s">
        <v>206</v>
      </c>
      <c r="B403" s="182" t="s">
        <v>269</v>
      </c>
      <c r="C403" s="182" t="s">
        <v>197</v>
      </c>
      <c r="D403" s="182" t="s">
        <v>613</v>
      </c>
      <c r="E403" s="183" t="s">
        <v>207</v>
      </c>
      <c r="F403" s="184"/>
      <c r="G403" s="184"/>
      <c r="H403" s="184"/>
    </row>
    <row r="404" spans="1:8" ht="15" hidden="1">
      <c r="A404" s="199" t="s">
        <v>429</v>
      </c>
      <c r="B404" s="182" t="s">
        <v>269</v>
      </c>
      <c r="C404" s="182" t="s">
        <v>197</v>
      </c>
      <c r="D404" s="182" t="s">
        <v>613</v>
      </c>
      <c r="E404" s="183" t="s">
        <v>430</v>
      </c>
      <c r="F404" s="184"/>
      <c r="G404" s="184"/>
      <c r="H404" s="184"/>
    </row>
    <row r="405" spans="1:8" ht="25.5">
      <c r="A405" s="199" t="s">
        <v>614</v>
      </c>
      <c r="B405" s="182" t="s">
        <v>269</v>
      </c>
      <c r="C405" s="182" t="s">
        <v>197</v>
      </c>
      <c r="D405" s="182" t="s">
        <v>613</v>
      </c>
      <c r="E405" s="183" t="s">
        <v>615</v>
      </c>
      <c r="F405" s="184">
        <f>18839660+33300+414200+82000+431200</f>
        <v>19800360</v>
      </c>
      <c r="G405" s="184">
        <v>16551716</v>
      </c>
      <c r="H405" s="184">
        <v>16864258</v>
      </c>
    </row>
    <row r="406" spans="1:8" ht="25.5">
      <c r="A406" s="191" t="s">
        <v>616</v>
      </c>
      <c r="B406" s="182" t="s">
        <v>269</v>
      </c>
      <c r="C406" s="182" t="s">
        <v>197</v>
      </c>
      <c r="D406" s="182" t="s">
        <v>617</v>
      </c>
      <c r="E406" s="183"/>
      <c r="F406" s="184">
        <f>F407+F409</f>
        <v>1152047</v>
      </c>
      <c r="G406" s="184">
        <f>G407+G409</f>
        <v>664285</v>
      </c>
      <c r="H406" s="184">
        <f>H407+H409</f>
        <v>664285</v>
      </c>
    </row>
    <row r="407" spans="1:8" ht="38.25">
      <c r="A407" s="199" t="s">
        <v>542</v>
      </c>
      <c r="B407" s="182" t="s">
        <v>269</v>
      </c>
      <c r="C407" s="182" t="s">
        <v>197</v>
      </c>
      <c r="D407" s="182" t="s">
        <v>618</v>
      </c>
      <c r="E407" s="183"/>
      <c r="F407" s="184">
        <f>F408</f>
        <v>1038665</v>
      </c>
      <c r="G407" s="184">
        <f>G408</f>
        <v>559289</v>
      </c>
      <c r="H407" s="184">
        <f>H408</f>
        <v>559289</v>
      </c>
    </row>
    <row r="408" spans="1:8" ht="30" customHeight="1">
      <c r="A408" s="199" t="s">
        <v>614</v>
      </c>
      <c r="B408" s="182" t="s">
        <v>269</v>
      </c>
      <c r="C408" s="182" t="s">
        <v>197</v>
      </c>
      <c r="D408" s="182" t="s">
        <v>618</v>
      </c>
      <c r="E408" s="183" t="s">
        <v>615</v>
      </c>
      <c r="F408" s="184">
        <v>1038665</v>
      </c>
      <c r="G408" s="184">
        <v>559289</v>
      </c>
      <c r="H408" s="184">
        <v>559289</v>
      </c>
    </row>
    <row r="409" spans="1:8" ht="66" customHeight="1">
      <c r="A409" s="199" t="s">
        <v>586</v>
      </c>
      <c r="B409" s="182" t="s">
        <v>269</v>
      </c>
      <c r="C409" s="182" t="s">
        <v>197</v>
      </c>
      <c r="D409" s="182" t="s">
        <v>619</v>
      </c>
      <c r="E409" s="183"/>
      <c r="F409" s="184">
        <f>F410</f>
        <v>113382</v>
      </c>
      <c r="G409" s="184">
        <f>G410</f>
        <v>104996</v>
      </c>
      <c r="H409" s="184">
        <f>H410</f>
        <v>104996</v>
      </c>
    </row>
    <row r="410" spans="1:8" ht="29.25" customHeight="1">
      <c r="A410" s="199" t="s">
        <v>614</v>
      </c>
      <c r="B410" s="182" t="s">
        <v>269</v>
      </c>
      <c r="C410" s="182" t="s">
        <v>197</v>
      </c>
      <c r="D410" s="182" t="s">
        <v>619</v>
      </c>
      <c r="E410" s="183" t="s">
        <v>615</v>
      </c>
      <c r="F410" s="184">
        <v>113382</v>
      </c>
      <c r="G410" s="184">
        <v>104996</v>
      </c>
      <c r="H410" s="184">
        <v>104996</v>
      </c>
    </row>
    <row r="411" spans="1:8" ht="15">
      <c r="A411" s="199" t="s">
        <v>620</v>
      </c>
      <c r="B411" s="182" t="s">
        <v>269</v>
      </c>
      <c r="C411" s="182" t="s">
        <v>269</v>
      </c>
      <c r="D411" s="182"/>
      <c r="E411" s="183"/>
      <c r="F411" s="184">
        <f aca="true" t="shared" si="48" ref="F411:H415">F412</f>
        <v>100000</v>
      </c>
      <c r="G411" s="184">
        <f t="shared" si="48"/>
        <v>100000</v>
      </c>
      <c r="H411" s="184">
        <f t="shared" si="48"/>
        <v>100000</v>
      </c>
    </row>
    <row r="412" spans="1:8" ht="42.75" customHeight="1">
      <c r="A412" s="199" t="s">
        <v>621</v>
      </c>
      <c r="B412" s="182" t="s">
        <v>269</v>
      </c>
      <c r="C412" s="182" t="s">
        <v>269</v>
      </c>
      <c r="D412" s="207" t="s">
        <v>622</v>
      </c>
      <c r="E412" s="183"/>
      <c r="F412" s="184">
        <f t="shared" si="48"/>
        <v>100000</v>
      </c>
      <c r="G412" s="184">
        <f t="shared" si="48"/>
        <v>100000</v>
      </c>
      <c r="H412" s="184">
        <f t="shared" si="48"/>
        <v>100000</v>
      </c>
    </row>
    <row r="413" spans="1:8" ht="54.75" customHeight="1">
      <c r="A413" s="199" t="s">
        <v>623</v>
      </c>
      <c r="B413" s="182" t="s">
        <v>269</v>
      </c>
      <c r="C413" s="182" t="s">
        <v>269</v>
      </c>
      <c r="D413" s="207" t="s">
        <v>624</v>
      </c>
      <c r="E413" s="210"/>
      <c r="F413" s="184">
        <f t="shared" si="48"/>
        <v>100000</v>
      </c>
      <c r="G413" s="184">
        <f t="shared" si="48"/>
        <v>100000</v>
      </c>
      <c r="H413" s="184">
        <f t="shared" si="48"/>
        <v>100000</v>
      </c>
    </row>
    <row r="414" spans="1:8" ht="39.75" customHeight="1">
      <c r="A414" s="199" t="s">
        <v>625</v>
      </c>
      <c r="B414" s="182" t="s">
        <v>269</v>
      </c>
      <c r="C414" s="182" t="s">
        <v>269</v>
      </c>
      <c r="D414" s="207" t="s">
        <v>626</v>
      </c>
      <c r="E414" s="210"/>
      <c r="F414" s="184">
        <f t="shared" si="48"/>
        <v>100000</v>
      </c>
      <c r="G414" s="184">
        <f t="shared" si="48"/>
        <v>100000</v>
      </c>
      <c r="H414" s="184">
        <f t="shared" si="48"/>
        <v>100000</v>
      </c>
    </row>
    <row r="415" spans="1:8" ht="19.5" customHeight="1">
      <c r="A415" s="199" t="s">
        <v>627</v>
      </c>
      <c r="B415" s="182" t="s">
        <v>269</v>
      </c>
      <c r="C415" s="182" t="s">
        <v>269</v>
      </c>
      <c r="D415" s="207" t="s">
        <v>628</v>
      </c>
      <c r="E415" s="210"/>
      <c r="F415" s="184">
        <f t="shared" si="48"/>
        <v>100000</v>
      </c>
      <c r="G415" s="184">
        <f t="shared" si="48"/>
        <v>100000</v>
      </c>
      <c r="H415" s="184">
        <f t="shared" si="48"/>
        <v>100000</v>
      </c>
    </row>
    <row r="416" spans="1:8" ht="21.75" customHeight="1">
      <c r="A416" s="192" t="s">
        <v>206</v>
      </c>
      <c r="B416" s="182" t="s">
        <v>269</v>
      </c>
      <c r="C416" s="182" t="s">
        <v>269</v>
      </c>
      <c r="D416" s="207" t="s">
        <v>628</v>
      </c>
      <c r="E416" s="210" t="s">
        <v>207</v>
      </c>
      <c r="F416" s="184">
        <v>100000</v>
      </c>
      <c r="G416" s="184">
        <v>100000</v>
      </c>
      <c r="H416" s="184">
        <v>100000</v>
      </c>
    </row>
    <row r="417" spans="1:8" ht="15">
      <c r="A417" s="199" t="s">
        <v>629</v>
      </c>
      <c r="B417" s="182" t="s">
        <v>269</v>
      </c>
      <c r="C417" s="182" t="s">
        <v>407</v>
      </c>
      <c r="D417" s="182"/>
      <c r="E417" s="183"/>
      <c r="F417" s="184">
        <f>F418+F425</f>
        <v>9111737</v>
      </c>
      <c r="G417" s="184">
        <f>G418+G425</f>
        <v>7217261</v>
      </c>
      <c r="H417" s="184">
        <f>H418+H425</f>
        <v>7301369</v>
      </c>
    </row>
    <row r="418" spans="1:8" ht="29.25" customHeight="1">
      <c r="A418" s="199" t="s">
        <v>301</v>
      </c>
      <c r="B418" s="182" t="s">
        <v>269</v>
      </c>
      <c r="C418" s="182" t="s">
        <v>407</v>
      </c>
      <c r="D418" s="182" t="s">
        <v>302</v>
      </c>
      <c r="E418" s="183"/>
      <c r="F418" s="184">
        <f aca="true" t="shared" si="49" ref="F418:H420">F419</f>
        <v>5355693</v>
      </c>
      <c r="G418" s="184">
        <f t="shared" si="49"/>
        <v>4611704</v>
      </c>
      <c r="H418" s="184">
        <f t="shared" si="49"/>
        <v>4683281</v>
      </c>
    </row>
    <row r="419" spans="1:8" ht="45" customHeight="1">
      <c r="A419" s="209" t="s">
        <v>303</v>
      </c>
      <c r="B419" s="182" t="s">
        <v>269</v>
      </c>
      <c r="C419" s="182" t="s">
        <v>407</v>
      </c>
      <c r="D419" s="182" t="s">
        <v>304</v>
      </c>
      <c r="E419" s="183"/>
      <c r="F419" s="184">
        <f t="shared" si="49"/>
        <v>5355693</v>
      </c>
      <c r="G419" s="184">
        <f t="shared" si="49"/>
        <v>4611704</v>
      </c>
      <c r="H419" s="184">
        <f t="shared" si="49"/>
        <v>4683281</v>
      </c>
    </row>
    <row r="420" spans="1:8" ht="32.25" customHeight="1">
      <c r="A420" s="199" t="s">
        <v>630</v>
      </c>
      <c r="B420" s="182" t="s">
        <v>269</v>
      </c>
      <c r="C420" s="182" t="s">
        <v>407</v>
      </c>
      <c r="D420" s="182" t="s">
        <v>631</v>
      </c>
      <c r="E420" s="183"/>
      <c r="F420" s="184">
        <f t="shared" si="49"/>
        <v>5355693</v>
      </c>
      <c r="G420" s="184">
        <f t="shared" si="49"/>
        <v>4611704</v>
      </c>
      <c r="H420" s="184">
        <f t="shared" si="49"/>
        <v>4683281</v>
      </c>
    </row>
    <row r="421" spans="1:8" ht="20.25" customHeight="1">
      <c r="A421" s="199" t="s">
        <v>366</v>
      </c>
      <c r="B421" s="182" t="s">
        <v>269</v>
      </c>
      <c r="C421" s="182" t="s">
        <v>407</v>
      </c>
      <c r="D421" s="182" t="s">
        <v>632</v>
      </c>
      <c r="E421" s="183"/>
      <c r="F421" s="184">
        <f>F422+F423+F424</f>
        <v>5355693</v>
      </c>
      <c r="G421" s="184">
        <f>G422+G423+G424</f>
        <v>4611704</v>
      </c>
      <c r="H421" s="184">
        <f>H422+H423+H424</f>
        <v>4683281</v>
      </c>
    </row>
    <row r="422" spans="1:8" ht="41.25" customHeight="1">
      <c r="A422" s="192" t="s">
        <v>194</v>
      </c>
      <c r="B422" s="182" t="s">
        <v>269</v>
      </c>
      <c r="C422" s="182" t="s">
        <v>407</v>
      </c>
      <c r="D422" s="182" t="s">
        <v>632</v>
      </c>
      <c r="E422" s="183" t="s">
        <v>195</v>
      </c>
      <c r="F422" s="184">
        <v>4314571</v>
      </c>
      <c r="G422" s="184">
        <v>3570582</v>
      </c>
      <c r="H422" s="184">
        <v>3642159</v>
      </c>
    </row>
    <row r="423" spans="1:8" ht="27" customHeight="1">
      <c r="A423" s="192" t="s">
        <v>206</v>
      </c>
      <c r="B423" s="182" t="s">
        <v>269</v>
      </c>
      <c r="C423" s="182" t="s">
        <v>407</v>
      </c>
      <c r="D423" s="182" t="s">
        <v>632</v>
      </c>
      <c r="E423" s="183" t="s">
        <v>207</v>
      </c>
      <c r="F423" s="184">
        <f>2470+155180+870950</f>
        <v>1028600</v>
      </c>
      <c r="G423" s="184">
        <f>2470+155180+870950</f>
        <v>1028600</v>
      </c>
      <c r="H423" s="184">
        <f>2470+155180+870950</f>
        <v>1028600</v>
      </c>
    </row>
    <row r="424" spans="1:8" ht="21.75" customHeight="1">
      <c r="A424" s="199" t="s">
        <v>274</v>
      </c>
      <c r="B424" s="182" t="s">
        <v>269</v>
      </c>
      <c r="C424" s="182" t="s">
        <v>407</v>
      </c>
      <c r="D424" s="182" t="s">
        <v>632</v>
      </c>
      <c r="E424" s="183" t="s">
        <v>275</v>
      </c>
      <c r="F424" s="184">
        <f>4124+8398</f>
        <v>12522</v>
      </c>
      <c r="G424" s="184">
        <f>4124+8398</f>
        <v>12522</v>
      </c>
      <c r="H424" s="184">
        <f>4124+8398</f>
        <v>12522</v>
      </c>
    </row>
    <row r="425" spans="1:8" ht="42.75" customHeight="1">
      <c r="A425" s="199" t="s">
        <v>621</v>
      </c>
      <c r="B425" s="182" t="s">
        <v>269</v>
      </c>
      <c r="C425" s="182" t="s">
        <v>407</v>
      </c>
      <c r="D425" s="207" t="s">
        <v>622</v>
      </c>
      <c r="E425" s="183"/>
      <c r="F425" s="184">
        <f>F426</f>
        <v>3756044</v>
      </c>
      <c r="G425" s="184">
        <f>G426</f>
        <v>2605557</v>
      </c>
      <c r="H425" s="184">
        <f>H426</f>
        <v>2618088</v>
      </c>
    </row>
    <row r="426" spans="1:8" ht="55.5" customHeight="1">
      <c r="A426" s="211" t="s">
        <v>633</v>
      </c>
      <c r="B426" s="182" t="s">
        <v>269</v>
      </c>
      <c r="C426" s="182" t="s">
        <v>407</v>
      </c>
      <c r="D426" s="207" t="s">
        <v>634</v>
      </c>
      <c r="E426" s="210"/>
      <c r="F426" s="184">
        <f>F427+F434</f>
        <v>3756044</v>
      </c>
      <c r="G426" s="184">
        <f>G427+G434</f>
        <v>2605557</v>
      </c>
      <c r="H426" s="184">
        <f>H427+H434</f>
        <v>2618088</v>
      </c>
    </row>
    <row r="427" spans="1:8" ht="31.5" customHeight="1">
      <c r="A427" s="199" t="s">
        <v>635</v>
      </c>
      <c r="B427" s="182" t="s">
        <v>269</v>
      </c>
      <c r="C427" s="182" t="s">
        <v>407</v>
      </c>
      <c r="D427" s="207" t="s">
        <v>636</v>
      </c>
      <c r="E427" s="210"/>
      <c r="F427" s="184">
        <f>F428+F431</f>
        <v>3000704</v>
      </c>
      <c r="G427" s="184">
        <f>G428+G431</f>
        <v>1980465</v>
      </c>
      <c r="H427" s="184">
        <f>H428+H431</f>
        <v>1980465</v>
      </c>
    </row>
    <row r="428" spans="1:8" ht="15">
      <c r="A428" s="199" t="s">
        <v>637</v>
      </c>
      <c r="B428" s="182" t="s">
        <v>269</v>
      </c>
      <c r="C428" s="182" t="s">
        <v>407</v>
      </c>
      <c r="D428" s="207" t="s">
        <v>638</v>
      </c>
      <c r="E428" s="183"/>
      <c r="F428" s="184">
        <f>F429+F430</f>
        <v>1020239</v>
      </c>
      <c r="G428" s="184">
        <f>G429+G430</f>
        <v>0</v>
      </c>
      <c r="H428" s="184">
        <f>H429+H430</f>
        <v>0</v>
      </c>
    </row>
    <row r="429" spans="1:8" ht="20.25" customHeight="1">
      <c r="A429" s="192" t="s">
        <v>206</v>
      </c>
      <c r="B429" s="182" t="s">
        <v>269</v>
      </c>
      <c r="C429" s="182" t="s">
        <v>407</v>
      </c>
      <c r="D429" s="207" t="s">
        <v>638</v>
      </c>
      <c r="E429" s="210" t="s">
        <v>207</v>
      </c>
      <c r="F429" s="184">
        <v>451759</v>
      </c>
      <c r="G429" s="184">
        <v>0</v>
      </c>
      <c r="H429" s="184">
        <v>0</v>
      </c>
    </row>
    <row r="430" spans="1:8" ht="15">
      <c r="A430" s="223" t="s">
        <v>244</v>
      </c>
      <c r="B430" s="182" t="s">
        <v>269</v>
      </c>
      <c r="C430" s="182" t="s">
        <v>407</v>
      </c>
      <c r="D430" s="207" t="s">
        <v>638</v>
      </c>
      <c r="E430" s="210" t="s">
        <v>245</v>
      </c>
      <c r="F430" s="184">
        <v>568480</v>
      </c>
      <c r="G430" s="184">
        <v>0</v>
      </c>
      <c r="H430" s="184">
        <v>0</v>
      </c>
    </row>
    <row r="431" spans="1:8" ht="23.25" customHeight="1">
      <c r="A431" s="200" t="s">
        <v>639</v>
      </c>
      <c r="B431" s="182" t="s">
        <v>269</v>
      </c>
      <c r="C431" s="182" t="s">
        <v>407</v>
      </c>
      <c r="D431" s="207" t="s">
        <v>640</v>
      </c>
      <c r="E431" s="183"/>
      <c r="F431" s="184">
        <f>F432+F433</f>
        <v>1980465</v>
      </c>
      <c r="G431" s="184">
        <f>G432+G433</f>
        <v>1980465</v>
      </c>
      <c r="H431" s="184">
        <f>H432+H433</f>
        <v>1980465</v>
      </c>
    </row>
    <row r="432" spans="1:8" ht="16.5" customHeight="1">
      <c r="A432" s="192" t="s">
        <v>206</v>
      </c>
      <c r="B432" s="182" t="s">
        <v>269</v>
      </c>
      <c r="C432" s="182" t="s">
        <v>407</v>
      </c>
      <c r="D432" s="207" t="s">
        <v>640</v>
      </c>
      <c r="E432" s="210" t="s">
        <v>207</v>
      </c>
      <c r="F432" s="184">
        <v>817665</v>
      </c>
      <c r="G432" s="184">
        <v>817665</v>
      </c>
      <c r="H432" s="184">
        <v>817665</v>
      </c>
    </row>
    <row r="433" spans="1:8" ht="15">
      <c r="A433" s="223" t="s">
        <v>244</v>
      </c>
      <c r="B433" s="182" t="s">
        <v>269</v>
      </c>
      <c r="C433" s="182" t="s">
        <v>407</v>
      </c>
      <c r="D433" s="207" t="s">
        <v>640</v>
      </c>
      <c r="E433" s="210" t="s">
        <v>245</v>
      </c>
      <c r="F433" s="184">
        <v>1162800</v>
      </c>
      <c r="G433" s="184">
        <v>1162800</v>
      </c>
      <c r="H433" s="184">
        <v>1162800</v>
      </c>
    </row>
    <row r="434" spans="1:8" ht="41.25" customHeight="1">
      <c r="A434" s="199" t="s">
        <v>641</v>
      </c>
      <c r="B434" s="182" t="s">
        <v>269</v>
      </c>
      <c r="C434" s="182" t="s">
        <v>407</v>
      </c>
      <c r="D434" s="207" t="s">
        <v>642</v>
      </c>
      <c r="E434" s="210"/>
      <c r="F434" s="184">
        <f>F439</f>
        <v>755340</v>
      </c>
      <c r="G434" s="184">
        <f>G439</f>
        <v>625092</v>
      </c>
      <c r="H434" s="184">
        <f>H439</f>
        <v>637623</v>
      </c>
    </row>
    <row r="435" spans="1:8" ht="30" customHeight="1" hidden="1">
      <c r="A435" s="199" t="s">
        <v>643</v>
      </c>
      <c r="B435" s="182" t="s">
        <v>269</v>
      </c>
      <c r="C435" s="182" t="s">
        <v>407</v>
      </c>
      <c r="D435" s="207" t="s">
        <v>644</v>
      </c>
      <c r="E435" s="210"/>
      <c r="F435" s="184">
        <f>F436</f>
        <v>0</v>
      </c>
      <c r="G435" s="184">
        <f>G436</f>
        <v>0</v>
      </c>
      <c r="H435" s="184">
        <f>H436</f>
        <v>0</v>
      </c>
    </row>
    <row r="436" spans="1:8" ht="35.25" customHeight="1" hidden="1">
      <c r="A436" s="192" t="s">
        <v>206</v>
      </c>
      <c r="B436" s="182" t="s">
        <v>269</v>
      </c>
      <c r="C436" s="182" t="s">
        <v>407</v>
      </c>
      <c r="D436" s="207" t="s">
        <v>644</v>
      </c>
      <c r="E436" s="210" t="s">
        <v>207</v>
      </c>
      <c r="F436" s="184"/>
      <c r="G436" s="184"/>
      <c r="H436" s="184"/>
    </row>
    <row r="437" spans="1:8" ht="33" customHeight="1" hidden="1">
      <c r="A437" s="199" t="s">
        <v>645</v>
      </c>
      <c r="B437" s="182" t="s">
        <v>269</v>
      </c>
      <c r="C437" s="182" t="s">
        <v>407</v>
      </c>
      <c r="D437" s="207" t="s">
        <v>646</v>
      </c>
      <c r="E437" s="210"/>
      <c r="F437" s="184">
        <f>F438</f>
        <v>0</v>
      </c>
      <c r="G437" s="184">
        <f>G438</f>
        <v>0</v>
      </c>
      <c r="H437" s="184">
        <f>H438</f>
        <v>0</v>
      </c>
    </row>
    <row r="438" spans="1:8" ht="31.5" customHeight="1" hidden="1">
      <c r="A438" s="192" t="s">
        <v>206</v>
      </c>
      <c r="B438" s="182" t="s">
        <v>269</v>
      </c>
      <c r="C438" s="182" t="s">
        <v>407</v>
      </c>
      <c r="D438" s="207" t="s">
        <v>646</v>
      </c>
      <c r="E438" s="210" t="s">
        <v>207</v>
      </c>
      <c r="F438" s="184"/>
      <c r="G438" s="184"/>
      <c r="H438" s="184"/>
    </row>
    <row r="439" spans="1:12" ht="18" customHeight="1">
      <c r="A439" s="191" t="s">
        <v>366</v>
      </c>
      <c r="B439" s="182" t="s">
        <v>269</v>
      </c>
      <c r="C439" s="182" t="s">
        <v>407</v>
      </c>
      <c r="D439" s="207" t="s">
        <v>647</v>
      </c>
      <c r="E439" s="210"/>
      <c r="F439" s="184">
        <f>F440+F441+F442</f>
        <v>755340</v>
      </c>
      <c r="G439" s="184">
        <f>G440+G441+G442</f>
        <v>625092</v>
      </c>
      <c r="H439" s="184">
        <f>H440+H441+H442</f>
        <v>637623</v>
      </c>
      <c r="J439" s="227"/>
      <c r="K439" s="227"/>
      <c r="L439" s="227"/>
    </row>
    <row r="440" spans="1:8" ht="47.25" customHeight="1" hidden="1">
      <c r="A440" s="199" t="s">
        <v>648</v>
      </c>
      <c r="B440" s="182" t="s">
        <v>269</v>
      </c>
      <c r="C440" s="182" t="s">
        <v>407</v>
      </c>
      <c r="D440" s="207" t="s">
        <v>647</v>
      </c>
      <c r="E440" s="183" t="s">
        <v>195</v>
      </c>
      <c r="F440" s="184"/>
      <c r="G440" s="184"/>
      <c r="H440" s="184"/>
    </row>
    <row r="441" spans="1:8" ht="29.25" customHeight="1" hidden="1">
      <c r="A441" s="192" t="s">
        <v>206</v>
      </c>
      <c r="B441" s="182" t="s">
        <v>269</v>
      </c>
      <c r="C441" s="182" t="s">
        <v>407</v>
      </c>
      <c r="D441" s="207" t="s">
        <v>647</v>
      </c>
      <c r="E441" s="210" t="s">
        <v>207</v>
      </c>
      <c r="F441" s="184"/>
      <c r="G441" s="184"/>
      <c r="H441" s="184"/>
    </row>
    <row r="442" spans="1:8" ht="25.5">
      <c r="A442" s="199" t="s">
        <v>614</v>
      </c>
      <c r="B442" s="182" t="s">
        <v>269</v>
      </c>
      <c r="C442" s="182" t="s">
        <v>407</v>
      </c>
      <c r="D442" s="207" t="s">
        <v>647</v>
      </c>
      <c r="E442" s="210" t="s">
        <v>615</v>
      </c>
      <c r="F442" s="184">
        <f>755340</f>
        <v>755340</v>
      </c>
      <c r="G442" s="184">
        <v>625092</v>
      </c>
      <c r="H442" s="184">
        <v>637623</v>
      </c>
    </row>
    <row r="443" spans="1:12" ht="15.75" customHeight="1">
      <c r="A443" s="199" t="s">
        <v>649</v>
      </c>
      <c r="B443" s="182" t="s">
        <v>399</v>
      </c>
      <c r="C443" s="182"/>
      <c r="D443" s="182"/>
      <c r="E443" s="183"/>
      <c r="F443" s="184">
        <f>F444</f>
        <v>53931062</v>
      </c>
      <c r="G443" s="184">
        <f>G444</f>
        <v>40982800</v>
      </c>
      <c r="H443" s="184">
        <f>H444</f>
        <v>41684024</v>
      </c>
      <c r="J443" s="228"/>
      <c r="K443" s="228"/>
      <c r="L443" s="228"/>
    </row>
    <row r="444" spans="1:8" ht="15">
      <c r="A444" s="199" t="s">
        <v>650</v>
      </c>
      <c r="B444" s="182" t="s">
        <v>399</v>
      </c>
      <c r="C444" s="182" t="s">
        <v>185</v>
      </c>
      <c r="D444" s="182"/>
      <c r="E444" s="183"/>
      <c r="F444" s="184">
        <f>F445+F475+F484</f>
        <v>53931062</v>
      </c>
      <c r="G444" s="184">
        <f>G445+G475+G484</f>
        <v>40982800</v>
      </c>
      <c r="H444" s="184">
        <f>H445+H475+H484</f>
        <v>41684024</v>
      </c>
    </row>
    <row r="445" spans="1:8" ht="27" customHeight="1">
      <c r="A445" s="199" t="s">
        <v>651</v>
      </c>
      <c r="B445" s="182" t="s">
        <v>399</v>
      </c>
      <c r="C445" s="182" t="s">
        <v>185</v>
      </c>
      <c r="D445" s="182" t="s">
        <v>652</v>
      </c>
      <c r="E445" s="183"/>
      <c r="F445" s="184">
        <f>F446+F464+F479</f>
        <v>53921062</v>
      </c>
      <c r="G445" s="184">
        <f>G446+G464+G479</f>
        <v>40972800</v>
      </c>
      <c r="H445" s="184">
        <f>H446+H464+H479</f>
        <v>41674024</v>
      </c>
    </row>
    <row r="446" spans="1:8" s="198" customFormat="1" ht="28.5" customHeight="1">
      <c r="A446" s="199" t="s">
        <v>653</v>
      </c>
      <c r="B446" s="182" t="s">
        <v>654</v>
      </c>
      <c r="C446" s="182" t="s">
        <v>185</v>
      </c>
      <c r="D446" s="182" t="s">
        <v>655</v>
      </c>
      <c r="E446" s="183"/>
      <c r="F446" s="184">
        <f>F452+F447</f>
        <v>38702747</v>
      </c>
      <c r="G446" s="184">
        <f>G452+G447</f>
        <v>27880971</v>
      </c>
      <c r="H446" s="184">
        <f>H452+H447</f>
        <v>28377613</v>
      </c>
    </row>
    <row r="447" spans="1:8" s="198" customFormat="1" ht="19.5" customHeight="1" hidden="1">
      <c r="A447" s="197" t="s">
        <v>656</v>
      </c>
      <c r="B447" s="182" t="s">
        <v>654</v>
      </c>
      <c r="C447" s="182" t="s">
        <v>185</v>
      </c>
      <c r="D447" s="182" t="s">
        <v>657</v>
      </c>
      <c r="E447" s="183"/>
      <c r="F447" s="184">
        <f>F448+F450</f>
        <v>0</v>
      </c>
      <c r="G447" s="184">
        <f>G448+G450</f>
        <v>0</v>
      </c>
      <c r="H447" s="184">
        <f>H448+H450</f>
        <v>0</v>
      </c>
    </row>
    <row r="448" spans="1:8" s="198" customFormat="1" ht="28.5" customHeight="1" hidden="1">
      <c r="A448" s="199" t="s">
        <v>658</v>
      </c>
      <c r="B448" s="182" t="s">
        <v>654</v>
      </c>
      <c r="C448" s="182" t="s">
        <v>185</v>
      </c>
      <c r="D448" s="182" t="s">
        <v>659</v>
      </c>
      <c r="E448" s="183"/>
      <c r="F448" s="184">
        <f>F449</f>
        <v>0</v>
      </c>
      <c r="G448" s="184"/>
      <c r="H448" s="184"/>
    </row>
    <row r="449" spans="1:8" s="198" customFormat="1" ht="19.5" customHeight="1" hidden="1">
      <c r="A449" s="223" t="s">
        <v>244</v>
      </c>
      <c r="B449" s="182" t="s">
        <v>654</v>
      </c>
      <c r="C449" s="182" t="s">
        <v>185</v>
      </c>
      <c r="D449" s="182" t="s">
        <v>659</v>
      </c>
      <c r="E449" s="183" t="s">
        <v>245</v>
      </c>
      <c r="F449" s="184"/>
      <c r="G449" s="184"/>
      <c r="H449" s="184"/>
    </row>
    <row r="450" spans="1:8" s="198" customFormat="1" ht="29.25" customHeight="1" hidden="1">
      <c r="A450" s="223" t="s">
        <v>660</v>
      </c>
      <c r="B450" s="182" t="s">
        <v>654</v>
      </c>
      <c r="C450" s="182" t="s">
        <v>185</v>
      </c>
      <c r="D450" s="182" t="s">
        <v>661</v>
      </c>
      <c r="E450" s="183"/>
      <c r="F450" s="184">
        <f>F451</f>
        <v>0</v>
      </c>
      <c r="G450" s="184"/>
      <c r="H450" s="184"/>
    </row>
    <row r="451" spans="1:8" s="198" customFormat="1" ht="29.25" customHeight="1" hidden="1">
      <c r="A451" s="192" t="s">
        <v>206</v>
      </c>
      <c r="B451" s="182" t="s">
        <v>654</v>
      </c>
      <c r="C451" s="182" t="s">
        <v>185</v>
      </c>
      <c r="D451" s="182" t="s">
        <v>661</v>
      </c>
      <c r="E451" s="183" t="s">
        <v>207</v>
      </c>
      <c r="F451" s="184"/>
      <c r="G451" s="184"/>
      <c r="H451" s="184"/>
    </row>
    <row r="452" spans="1:8" ht="46.5" customHeight="1">
      <c r="A452" s="197" t="s">
        <v>662</v>
      </c>
      <c r="B452" s="182" t="s">
        <v>654</v>
      </c>
      <c r="C452" s="182" t="s">
        <v>185</v>
      </c>
      <c r="D452" s="182" t="s">
        <v>663</v>
      </c>
      <c r="E452" s="183"/>
      <c r="F452" s="184">
        <f>F457+F462+F453+F455</f>
        <v>38702747</v>
      </c>
      <c r="G452" s="184">
        <f>G457+G462+G453+G455</f>
        <v>27880971</v>
      </c>
      <c r="H452" s="184">
        <f>H457+H462+H453+H455</f>
        <v>28377613</v>
      </c>
    </row>
    <row r="453" spans="1:8" ht="33.75" customHeight="1">
      <c r="A453" s="197" t="s">
        <v>664</v>
      </c>
      <c r="B453" s="182" t="s">
        <v>654</v>
      </c>
      <c r="C453" s="182" t="s">
        <v>185</v>
      </c>
      <c r="D453" s="182" t="s">
        <v>665</v>
      </c>
      <c r="E453" s="183"/>
      <c r="F453" s="184">
        <f>F454</f>
        <v>5659547</v>
      </c>
      <c r="G453" s="184">
        <f>G454</f>
        <v>0</v>
      </c>
      <c r="H453" s="184">
        <f>H454</f>
        <v>0</v>
      </c>
    </row>
    <row r="454" spans="1:8" ht="45.75" customHeight="1">
      <c r="A454" s="192" t="s">
        <v>194</v>
      </c>
      <c r="B454" s="182" t="s">
        <v>654</v>
      </c>
      <c r="C454" s="182" t="s">
        <v>185</v>
      </c>
      <c r="D454" s="182" t="s">
        <v>665</v>
      </c>
      <c r="E454" s="183" t="s">
        <v>195</v>
      </c>
      <c r="F454" s="184">
        <v>5659547</v>
      </c>
      <c r="G454" s="184">
        <v>0</v>
      </c>
      <c r="H454" s="184">
        <v>0</v>
      </c>
    </row>
    <row r="455" spans="1:8" ht="33.75" customHeight="1">
      <c r="A455" s="197" t="s">
        <v>666</v>
      </c>
      <c r="B455" s="182" t="s">
        <v>654</v>
      </c>
      <c r="C455" s="182" t="s">
        <v>185</v>
      </c>
      <c r="D455" s="182" t="s">
        <v>667</v>
      </c>
      <c r="E455" s="183"/>
      <c r="F455" s="184">
        <f>F456</f>
        <v>13031000</v>
      </c>
      <c r="G455" s="184">
        <f>G456</f>
        <v>10783981</v>
      </c>
      <c r="H455" s="184">
        <f>H456</f>
        <v>11000160</v>
      </c>
    </row>
    <row r="456" spans="1:8" ht="38.25">
      <c r="A456" s="192" t="s">
        <v>194</v>
      </c>
      <c r="B456" s="182" t="s">
        <v>654</v>
      </c>
      <c r="C456" s="182" t="s">
        <v>185</v>
      </c>
      <c r="D456" s="182" t="s">
        <v>667</v>
      </c>
      <c r="E456" s="183" t="s">
        <v>195</v>
      </c>
      <c r="F456" s="184">
        <f>10008450+3022550</f>
        <v>13031000</v>
      </c>
      <c r="G456" s="184">
        <v>10783981</v>
      </c>
      <c r="H456" s="184">
        <v>11000160</v>
      </c>
    </row>
    <row r="457" spans="1:8" ht="18.75" customHeight="1">
      <c r="A457" s="199" t="s">
        <v>366</v>
      </c>
      <c r="B457" s="182" t="s">
        <v>654</v>
      </c>
      <c r="C457" s="182" t="s">
        <v>185</v>
      </c>
      <c r="D457" s="182" t="s">
        <v>668</v>
      </c>
      <c r="E457" s="183"/>
      <c r="F457" s="184">
        <f>F458+F459+F461+F460</f>
        <v>20012200</v>
      </c>
      <c r="G457" s="184">
        <f>G458+G459+G461+G460</f>
        <v>17096990</v>
      </c>
      <c r="H457" s="184">
        <f>H458+H459+H461+H460</f>
        <v>17377453</v>
      </c>
    </row>
    <row r="458" spans="1:8" ht="44.25" customHeight="1">
      <c r="A458" s="192" t="s">
        <v>194</v>
      </c>
      <c r="B458" s="182" t="s">
        <v>654</v>
      </c>
      <c r="C458" s="182" t="s">
        <v>185</v>
      </c>
      <c r="D458" s="182" t="s">
        <v>668</v>
      </c>
      <c r="E458" s="183" t="s">
        <v>195</v>
      </c>
      <c r="F458" s="184">
        <f>12984640+3921360</f>
        <v>16906000</v>
      </c>
      <c r="G458" s="184">
        <v>13990790</v>
      </c>
      <c r="H458" s="184">
        <v>14271253</v>
      </c>
    </row>
    <row r="459" spans="1:8" ht="28.5" customHeight="1">
      <c r="A459" s="192" t="s">
        <v>206</v>
      </c>
      <c r="B459" s="182" t="s">
        <v>654</v>
      </c>
      <c r="C459" s="182" t="s">
        <v>185</v>
      </c>
      <c r="D459" s="182" t="s">
        <v>668</v>
      </c>
      <c r="E459" s="183" t="s">
        <v>207</v>
      </c>
      <c r="F459" s="184">
        <f>2777000+80000</f>
        <v>2857000</v>
      </c>
      <c r="G459" s="184">
        <f>2777000+80000</f>
        <v>2857000</v>
      </c>
      <c r="H459" s="184">
        <f>2777000+80000</f>
        <v>2857000</v>
      </c>
    </row>
    <row r="460" spans="1:8" ht="15" hidden="1">
      <c r="A460" s="199" t="s">
        <v>429</v>
      </c>
      <c r="B460" s="182" t="s">
        <v>654</v>
      </c>
      <c r="C460" s="182" t="s">
        <v>185</v>
      </c>
      <c r="D460" s="182" t="s">
        <v>668</v>
      </c>
      <c r="E460" s="183" t="s">
        <v>430</v>
      </c>
      <c r="F460" s="184"/>
      <c r="G460" s="184"/>
      <c r="H460" s="184"/>
    </row>
    <row r="461" spans="1:8" ht="15">
      <c r="A461" s="205" t="s">
        <v>274</v>
      </c>
      <c r="B461" s="182" t="s">
        <v>654</v>
      </c>
      <c r="C461" s="182" t="s">
        <v>185</v>
      </c>
      <c r="D461" s="182" t="s">
        <v>668</v>
      </c>
      <c r="E461" s="183" t="s">
        <v>275</v>
      </c>
      <c r="F461" s="184">
        <f>242900+6300</f>
        <v>249200</v>
      </c>
      <c r="G461" s="184">
        <f>242900+6300</f>
        <v>249200</v>
      </c>
      <c r="H461" s="184">
        <f>242900+6300</f>
        <v>249200</v>
      </c>
    </row>
    <row r="462" spans="1:8" ht="25.5" hidden="1">
      <c r="A462" s="192" t="s">
        <v>669</v>
      </c>
      <c r="B462" s="182" t="s">
        <v>399</v>
      </c>
      <c r="C462" s="182" t="s">
        <v>185</v>
      </c>
      <c r="D462" s="182" t="s">
        <v>670</v>
      </c>
      <c r="E462" s="183"/>
      <c r="F462" s="184">
        <f>F463</f>
        <v>0</v>
      </c>
      <c r="G462" s="184">
        <f>G463</f>
        <v>0</v>
      </c>
      <c r="H462" s="184">
        <f>H463</f>
        <v>0</v>
      </c>
    </row>
    <row r="463" spans="1:8" ht="25.5" hidden="1">
      <c r="A463" s="192" t="s">
        <v>206</v>
      </c>
      <c r="B463" s="182" t="s">
        <v>399</v>
      </c>
      <c r="C463" s="182" t="s">
        <v>185</v>
      </c>
      <c r="D463" s="182" t="s">
        <v>670</v>
      </c>
      <c r="E463" s="183" t="s">
        <v>207</v>
      </c>
      <c r="F463" s="184"/>
      <c r="G463" s="184"/>
      <c r="H463" s="184"/>
    </row>
    <row r="464" spans="1:8" ht="29.25" customHeight="1">
      <c r="A464" s="199" t="s">
        <v>671</v>
      </c>
      <c r="B464" s="182" t="s">
        <v>654</v>
      </c>
      <c r="C464" s="182" t="s">
        <v>185</v>
      </c>
      <c r="D464" s="207" t="s">
        <v>672</v>
      </c>
      <c r="E464" s="183"/>
      <c r="F464" s="184">
        <f>F470+F465</f>
        <v>13175800</v>
      </c>
      <c r="G464" s="184">
        <f>G470+G465</f>
        <v>11049314</v>
      </c>
      <c r="H464" s="184">
        <f>H470+H465</f>
        <v>11253896</v>
      </c>
    </row>
    <row r="465" spans="1:8" s="198" customFormat="1" ht="19.5" customHeight="1" hidden="1">
      <c r="A465" s="197" t="s">
        <v>656</v>
      </c>
      <c r="B465" s="182" t="s">
        <v>654</v>
      </c>
      <c r="C465" s="182" t="s">
        <v>185</v>
      </c>
      <c r="D465" s="182" t="s">
        <v>673</v>
      </c>
      <c r="E465" s="183"/>
      <c r="F465" s="184">
        <f>F466+F468</f>
        <v>0</v>
      </c>
      <c r="G465" s="184">
        <f>G466+G468</f>
        <v>0</v>
      </c>
      <c r="H465" s="184">
        <f>H466+H468</f>
        <v>0</v>
      </c>
    </row>
    <row r="466" spans="1:8" s="198" customFormat="1" ht="28.5" customHeight="1" hidden="1">
      <c r="A466" s="199" t="s">
        <v>658</v>
      </c>
      <c r="B466" s="182" t="s">
        <v>654</v>
      </c>
      <c r="C466" s="182" t="s">
        <v>185</v>
      </c>
      <c r="D466" s="182" t="s">
        <v>674</v>
      </c>
      <c r="E466" s="183"/>
      <c r="F466" s="184">
        <f>F467</f>
        <v>0</v>
      </c>
      <c r="G466" s="184"/>
      <c r="H466" s="184"/>
    </row>
    <row r="467" spans="1:8" s="198" customFormat="1" ht="19.5" customHeight="1" hidden="1">
      <c r="A467" s="223" t="s">
        <v>244</v>
      </c>
      <c r="B467" s="182" t="s">
        <v>654</v>
      </c>
      <c r="C467" s="182" t="s">
        <v>185</v>
      </c>
      <c r="D467" s="182" t="s">
        <v>674</v>
      </c>
      <c r="E467" s="183" t="s">
        <v>245</v>
      </c>
      <c r="F467" s="184"/>
      <c r="G467" s="184"/>
      <c r="H467" s="184"/>
    </row>
    <row r="468" spans="1:8" s="198" customFormat="1" ht="28.5" customHeight="1" hidden="1">
      <c r="A468" s="199" t="s">
        <v>658</v>
      </c>
      <c r="B468" s="182" t="s">
        <v>654</v>
      </c>
      <c r="C468" s="182" t="s">
        <v>185</v>
      </c>
      <c r="D468" s="182" t="s">
        <v>675</v>
      </c>
      <c r="E468" s="183"/>
      <c r="F468" s="184">
        <f>F469</f>
        <v>0</v>
      </c>
      <c r="G468" s="184"/>
      <c r="H468" s="184"/>
    </row>
    <row r="469" spans="1:8" s="198" customFormat="1" ht="19.5" customHeight="1" hidden="1">
      <c r="A469" s="223" t="s">
        <v>244</v>
      </c>
      <c r="B469" s="182" t="s">
        <v>654</v>
      </c>
      <c r="C469" s="182" t="s">
        <v>185</v>
      </c>
      <c r="D469" s="182" t="s">
        <v>675</v>
      </c>
      <c r="E469" s="183" t="s">
        <v>207</v>
      </c>
      <c r="F469" s="184"/>
      <c r="G469" s="184"/>
      <c r="H469" s="184"/>
    </row>
    <row r="470" spans="1:8" ht="32.25" customHeight="1">
      <c r="A470" s="199" t="s">
        <v>676</v>
      </c>
      <c r="B470" s="182" t="s">
        <v>654</v>
      </c>
      <c r="C470" s="182" t="s">
        <v>185</v>
      </c>
      <c r="D470" s="207" t="s">
        <v>677</v>
      </c>
      <c r="E470" s="183"/>
      <c r="F470" s="184">
        <f>F471</f>
        <v>13175800</v>
      </c>
      <c r="G470" s="184">
        <f>G471</f>
        <v>11049314</v>
      </c>
      <c r="H470" s="184">
        <f>H471</f>
        <v>11253896</v>
      </c>
    </row>
    <row r="471" spans="1:8" ht="15">
      <c r="A471" s="199" t="s">
        <v>366</v>
      </c>
      <c r="B471" s="182" t="s">
        <v>654</v>
      </c>
      <c r="C471" s="182" t="s">
        <v>185</v>
      </c>
      <c r="D471" s="207" t="s">
        <v>678</v>
      </c>
      <c r="E471" s="183"/>
      <c r="F471" s="184">
        <f>F472+F473+F474</f>
        <v>13175800</v>
      </c>
      <c r="G471" s="184">
        <f>G472+G473+G474</f>
        <v>11049314</v>
      </c>
      <c r="H471" s="184">
        <f>H472+H473+H474</f>
        <v>11253896</v>
      </c>
    </row>
    <row r="472" spans="1:8" ht="40.5" customHeight="1">
      <c r="A472" s="192" t="s">
        <v>194</v>
      </c>
      <c r="B472" s="182" t="s">
        <v>654</v>
      </c>
      <c r="C472" s="182" t="s">
        <v>185</v>
      </c>
      <c r="D472" s="207" t="s">
        <v>678</v>
      </c>
      <c r="E472" s="183" t="s">
        <v>195</v>
      </c>
      <c r="F472" s="184">
        <f>12332000</f>
        <v>12332000</v>
      </c>
      <c r="G472" s="184">
        <v>10205514</v>
      </c>
      <c r="H472" s="184">
        <v>10410096</v>
      </c>
    </row>
    <row r="473" spans="1:8" ht="18.75" customHeight="1">
      <c r="A473" s="192" t="s">
        <v>206</v>
      </c>
      <c r="B473" s="182" t="s">
        <v>654</v>
      </c>
      <c r="C473" s="182" t="s">
        <v>185</v>
      </c>
      <c r="D473" s="207" t="s">
        <v>678</v>
      </c>
      <c r="E473" s="183" t="s">
        <v>207</v>
      </c>
      <c r="F473" s="184">
        <f>702300+109700</f>
        <v>812000</v>
      </c>
      <c r="G473" s="184">
        <f>702300+109700</f>
        <v>812000</v>
      </c>
      <c r="H473" s="184">
        <f>702300+109700</f>
        <v>812000</v>
      </c>
    </row>
    <row r="474" spans="1:8" ht="21" customHeight="1">
      <c r="A474" s="205" t="s">
        <v>274</v>
      </c>
      <c r="B474" s="182" t="s">
        <v>654</v>
      </c>
      <c r="C474" s="182" t="s">
        <v>185</v>
      </c>
      <c r="D474" s="207" t="s">
        <v>678</v>
      </c>
      <c r="E474" s="183" t="s">
        <v>275</v>
      </c>
      <c r="F474" s="184">
        <f>31800</f>
        <v>31800</v>
      </c>
      <c r="G474" s="184">
        <f>31800</f>
        <v>31800</v>
      </c>
      <c r="H474" s="184">
        <f>31800</f>
        <v>31800</v>
      </c>
    </row>
    <row r="475" spans="1:8" ht="25.5" hidden="1">
      <c r="A475" s="199" t="s">
        <v>370</v>
      </c>
      <c r="B475" s="182" t="s">
        <v>654</v>
      </c>
      <c r="C475" s="182" t="s">
        <v>185</v>
      </c>
      <c r="D475" s="207" t="s">
        <v>371</v>
      </c>
      <c r="E475" s="183"/>
      <c r="F475" s="184">
        <f aca="true" t="shared" si="50" ref="F475:H477">F476</f>
        <v>0</v>
      </c>
      <c r="G475" s="184">
        <f t="shared" si="50"/>
        <v>0</v>
      </c>
      <c r="H475" s="184">
        <f t="shared" si="50"/>
        <v>0</v>
      </c>
    </row>
    <row r="476" spans="1:8" ht="25.5" hidden="1">
      <c r="A476" s="192" t="s">
        <v>372</v>
      </c>
      <c r="B476" s="182" t="s">
        <v>654</v>
      </c>
      <c r="C476" s="182" t="s">
        <v>185</v>
      </c>
      <c r="D476" s="207" t="s">
        <v>373</v>
      </c>
      <c r="E476" s="183"/>
      <c r="F476" s="184">
        <f t="shared" si="50"/>
        <v>0</v>
      </c>
      <c r="G476" s="184">
        <f t="shared" si="50"/>
        <v>0</v>
      </c>
      <c r="H476" s="184">
        <f t="shared" si="50"/>
        <v>0</v>
      </c>
    </row>
    <row r="477" spans="1:8" ht="15" hidden="1">
      <c r="A477" s="192" t="s">
        <v>679</v>
      </c>
      <c r="B477" s="182" t="s">
        <v>654</v>
      </c>
      <c r="C477" s="182" t="s">
        <v>185</v>
      </c>
      <c r="D477" s="190" t="s">
        <v>680</v>
      </c>
      <c r="E477" s="183"/>
      <c r="F477" s="184">
        <f t="shared" si="50"/>
        <v>0</v>
      </c>
      <c r="G477" s="184">
        <f t="shared" si="50"/>
        <v>0</v>
      </c>
      <c r="H477" s="184">
        <f t="shared" si="50"/>
        <v>0</v>
      </c>
    </row>
    <row r="478" spans="1:8" ht="15" hidden="1">
      <c r="A478" s="199" t="s">
        <v>244</v>
      </c>
      <c r="B478" s="182" t="s">
        <v>654</v>
      </c>
      <c r="C478" s="182" t="s">
        <v>185</v>
      </c>
      <c r="D478" s="190" t="s">
        <v>680</v>
      </c>
      <c r="E478" s="183" t="s">
        <v>245</v>
      </c>
      <c r="F478" s="184"/>
      <c r="G478" s="184"/>
      <c r="H478" s="184"/>
    </row>
    <row r="479" spans="1:8" ht="44.25" customHeight="1">
      <c r="A479" s="199" t="s">
        <v>681</v>
      </c>
      <c r="B479" s="182" t="s">
        <v>654</v>
      </c>
      <c r="C479" s="182" t="s">
        <v>185</v>
      </c>
      <c r="D479" s="182" t="s">
        <v>682</v>
      </c>
      <c r="E479" s="183"/>
      <c r="F479" s="184">
        <f aca="true" t="shared" si="51" ref="F479:H480">F480</f>
        <v>2042515</v>
      </c>
      <c r="G479" s="184">
        <f t="shared" si="51"/>
        <v>2042515</v>
      </c>
      <c r="H479" s="184">
        <f t="shared" si="51"/>
        <v>2042515</v>
      </c>
    </row>
    <row r="480" spans="1:8" ht="25.5">
      <c r="A480" s="192" t="s">
        <v>683</v>
      </c>
      <c r="B480" s="182" t="s">
        <v>654</v>
      </c>
      <c r="C480" s="182" t="s">
        <v>185</v>
      </c>
      <c r="D480" s="182" t="s">
        <v>684</v>
      </c>
      <c r="E480" s="183"/>
      <c r="F480" s="184">
        <f t="shared" si="51"/>
        <v>2042515</v>
      </c>
      <c r="G480" s="184">
        <f t="shared" si="51"/>
        <v>2042515</v>
      </c>
      <c r="H480" s="184">
        <f t="shared" si="51"/>
        <v>2042515</v>
      </c>
    </row>
    <row r="481" spans="1:8" ht="40.5" customHeight="1">
      <c r="A481" s="192" t="s">
        <v>685</v>
      </c>
      <c r="B481" s="182" t="s">
        <v>654</v>
      </c>
      <c r="C481" s="182" t="s">
        <v>185</v>
      </c>
      <c r="D481" s="182" t="s">
        <v>686</v>
      </c>
      <c r="E481" s="183"/>
      <c r="F481" s="184">
        <f>F482+F483</f>
        <v>2042515</v>
      </c>
      <c r="G481" s="184">
        <f>G482+G483</f>
        <v>2042515</v>
      </c>
      <c r="H481" s="184">
        <f>H482+H483</f>
        <v>2042515</v>
      </c>
    </row>
    <row r="482" spans="1:8" ht="38.25">
      <c r="A482" s="192" t="s">
        <v>194</v>
      </c>
      <c r="B482" s="182" t="s">
        <v>654</v>
      </c>
      <c r="C482" s="182" t="s">
        <v>185</v>
      </c>
      <c r="D482" s="182" t="s">
        <v>686</v>
      </c>
      <c r="E482" s="183" t="s">
        <v>195</v>
      </c>
      <c r="F482" s="184">
        <v>1488115</v>
      </c>
      <c r="G482" s="184">
        <v>1488115</v>
      </c>
      <c r="H482" s="184">
        <v>1488115</v>
      </c>
    </row>
    <row r="483" spans="1:8" ht="15">
      <c r="A483" s="223" t="s">
        <v>244</v>
      </c>
      <c r="B483" s="182" t="s">
        <v>654</v>
      </c>
      <c r="C483" s="182" t="s">
        <v>185</v>
      </c>
      <c r="D483" s="182" t="s">
        <v>686</v>
      </c>
      <c r="E483" s="183" t="s">
        <v>245</v>
      </c>
      <c r="F483" s="184">
        <v>554400</v>
      </c>
      <c r="G483" s="184">
        <v>554400</v>
      </c>
      <c r="H483" s="184">
        <v>554400</v>
      </c>
    </row>
    <row r="484" spans="1:8" ht="25.5">
      <c r="A484" s="209" t="s">
        <v>687</v>
      </c>
      <c r="B484" s="182" t="s">
        <v>654</v>
      </c>
      <c r="C484" s="182" t="s">
        <v>185</v>
      </c>
      <c r="D484" s="182" t="s">
        <v>601</v>
      </c>
      <c r="E484" s="193"/>
      <c r="F484" s="184">
        <f aca="true" t="shared" si="52" ref="F484:H487">F485</f>
        <v>10000</v>
      </c>
      <c r="G484" s="184">
        <f t="shared" si="52"/>
        <v>10000</v>
      </c>
      <c r="H484" s="184">
        <f t="shared" si="52"/>
        <v>10000</v>
      </c>
    </row>
    <row r="485" spans="1:8" ht="40.5" customHeight="1">
      <c r="A485" s="197" t="s">
        <v>602</v>
      </c>
      <c r="B485" s="182" t="s">
        <v>654</v>
      </c>
      <c r="C485" s="182" t="s">
        <v>185</v>
      </c>
      <c r="D485" s="182" t="s">
        <v>603</v>
      </c>
      <c r="E485" s="193"/>
      <c r="F485" s="184">
        <f t="shared" si="52"/>
        <v>10000</v>
      </c>
      <c r="G485" s="184">
        <f t="shared" si="52"/>
        <v>10000</v>
      </c>
      <c r="H485" s="184">
        <f t="shared" si="52"/>
        <v>10000</v>
      </c>
    </row>
    <row r="486" spans="1:8" ht="32.25" customHeight="1">
      <c r="A486" s="200" t="s">
        <v>604</v>
      </c>
      <c r="B486" s="182" t="s">
        <v>654</v>
      </c>
      <c r="C486" s="182" t="s">
        <v>185</v>
      </c>
      <c r="D486" s="182" t="s">
        <v>605</v>
      </c>
      <c r="E486" s="193"/>
      <c r="F486" s="184">
        <f t="shared" si="52"/>
        <v>10000</v>
      </c>
      <c r="G486" s="184">
        <f t="shared" si="52"/>
        <v>10000</v>
      </c>
      <c r="H486" s="184">
        <f t="shared" si="52"/>
        <v>10000</v>
      </c>
    </row>
    <row r="487" spans="1:8" ht="18.75" customHeight="1">
      <c r="A487" s="200" t="s">
        <v>606</v>
      </c>
      <c r="B487" s="182" t="s">
        <v>654</v>
      </c>
      <c r="C487" s="182" t="s">
        <v>185</v>
      </c>
      <c r="D487" s="182" t="s">
        <v>607</v>
      </c>
      <c r="E487" s="193"/>
      <c r="F487" s="184">
        <f t="shared" si="52"/>
        <v>10000</v>
      </c>
      <c r="G487" s="184">
        <f t="shared" si="52"/>
        <v>10000</v>
      </c>
      <c r="H487" s="184">
        <f t="shared" si="52"/>
        <v>10000</v>
      </c>
    </row>
    <row r="488" spans="1:8" ht="15.75" customHeight="1">
      <c r="A488" s="192" t="s">
        <v>206</v>
      </c>
      <c r="B488" s="182" t="s">
        <v>654</v>
      </c>
      <c r="C488" s="182" t="s">
        <v>185</v>
      </c>
      <c r="D488" s="182" t="s">
        <v>607</v>
      </c>
      <c r="E488" s="183" t="s">
        <v>207</v>
      </c>
      <c r="F488" s="184">
        <f>10000</f>
        <v>10000</v>
      </c>
      <c r="G488" s="184">
        <f>10000</f>
        <v>10000</v>
      </c>
      <c r="H488" s="184">
        <f>10000</f>
        <v>10000</v>
      </c>
    </row>
    <row r="489" spans="1:8" ht="15">
      <c r="A489" s="199" t="s">
        <v>688</v>
      </c>
      <c r="B489" s="182" t="s">
        <v>407</v>
      </c>
      <c r="C489" s="182"/>
      <c r="D489" s="207"/>
      <c r="E489" s="210"/>
      <c r="F489" s="184">
        <f aca="true" t="shared" si="53" ref="F489:H491">F490</f>
        <v>944546</v>
      </c>
      <c r="G489" s="184">
        <f t="shared" si="53"/>
        <v>944546</v>
      </c>
      <c r="H489" s="184">
        <f t="shared" si="53"/>
        <v>944546</v>
      </c>
    </row>
    <row r="490" spans="1:8" ht="15">
      <c r="A490" s="199" t="s">
        <v>689</v>
      </c>
      <c r="B490" s="182" t="s">
        <v>407</v>
      </c>
      <c r="C490" s="182" t="s">
        <v>269</v>
      </c>
      <c r="D490" s="182"/>
      <c r="E490" s="183"/>
      <c r="F490" s="184">
        <f t="shared" si="53"/>
        <v>944546</v>
      </c>
      <c r="G490" s="184">
        <f t="shared" si="53"/>
        <v>944546</v>
      </c>
      <c r="H490" s="184">
        <f t="shared" si="53"/>
        <v>944546</v>
      </c>
    </row>
    <row r="491" spans="1:8" ht="15">
      <c r="A491" s="199" t="s">
        <v>246</v>
      </c>
      <c r="B491" s="182" t="s">
        <v>407</v>
      </c>
      <c r="C491" s="182" t="s">
        <v>269</v>
      </c>
      <c r="D491" s="204" t="s">
        <v>247</v>
      </c>
      <c r="E491" s="193"/>
      <c r="F491" s="184">
        <f t="shared" si="53"/>
        <v>944546</v>
      </c>
      <c r="G491" s="184">
        <f t="shared" si="53"/>
        <v>944546</v>
      </c>
      <c r="H491" s="184">
        <f t="shared" si="53"/>
        <v>944546</v>
      </c>
    </row>
    <row r="492" spans="1:8" ht="15">
      <c r="A492" s="199" t="s">
        <v>253</v>
      </c>
      <c r="B492" s="182" t="s">
        <v>407</v>
      </c>
      <c r="C492" s="182" t="s">
        <v>269</v>
      </c>
      <c r="D492" s="182" t="s">
        <v>254</v>
      </c>
      <c r="E492" s="183"/>
      <c r="F492" s="184">
        <f>F493+F495</f>
        <v>944546</v>
      </c>
      <c r="G492" s="184">
        <f>G493+G495</f>
        <v>944546</v>
      </c>
      <c r="H492" s="184">
        <f>H493+H495</f>
        <v>944546</v>
      </c>
    </row>
    <row r="493" spans="1:8" ht="25.5">
      <c r="A493" s="202" t="s">
        <v>690</v>
      </c>
      <c r="B493" s="182" t="s">
        <v>407</v>
      </c>
      <c r="C493" s="182" t="s">
        <v>269</v>
      </c>
      <c r="D493" s="182" t="s">
        <v>691</v>
      </c>
      <c r="E493" s="183"/>
      <c r="F493" s="184">
        <f>F494</f>
        <v>944546</v>
      </c>
      <c r="G493" s="184">
        <f>G494</f>
        <v>944546</v>
      </c>
      <c r="H493" s="184">
        <f>H494</f>
        <v>944546</v>
      </c>
    </row>
    <row r="494" spans="1:8" ht="17.25" customHeight="1">
      <c r="A494" s="192" t="s">
        <v>206</v>
      </c>
      <c r="B494" s="182" t="s">
        <v>407</v>
      </c>
      <c r="C494" s="182" t="s">
        <v>269</v>
      </c>
      <c r="D494" s="182" t="s">
        <v>691</v>
      </c>
      <c r="E494" s="193" t="s">
        <v>207</v>
      </c>
      <c r="F494" s="184">
        <v>944546</v>
      </c>
      <c r="G494" s="184">
        <v>944546</v>
      </c>
      <c r="H494" s="184">
        <v>944546</v>
      </c>
    </row>
    <row r="495" spans="1:8" ht="46.5" customHeight="1" hidden="1">
      <c r="A495" s="199" t="s">
        <v>692</v>
      </c>
      <c r="B495" s="182" t="s">
        <v>407</v>
      </c>
      <c r="C495" s="182" t="s">
        <v>269</v>
      </c>
      <c r="D495" s="182" t="s">
        <v>256</v>
      </c>
      <c r="E495" s="183"/>
      <c r="F495" s="184">
        <f>F496</f>
        <v>0</v>
      </c>
      <c r="G495" s="184">
        <f>G496</f>
        <v>0</v>
      </c>
      <c r="H495" s="184">
        <f>H496</f>
        <v>0</v>
      </c>
    </row>
    <row r="496" spans="1:8" ht="25.5" hidden="1">
      <c r="A496" s="192" t="s">
        <v>206</v>
      </c>
      <c r="B496" s="182" t="s">
        <v>407</v>
      </c>
      <c r="C496" s="182" t="s">
        <v>269</v>
      </c>
      <c r="D496" s="182" t="s">
        <v>256</v>
      </c>
      <c r="E496" s="193" t="s">
        <v>195</v>
      </c>
      <c r="F496" s="184"/>
      <c r="G496" s="184"/>
      <c r="H496" s="184"/>
    </row>
    <row r="497" spans="1:8" ht="17.25" customHeight="1">
      <c r="A497" s="199" t="s">
        <v>693</v>
      </c>
      <c r="B497" s="182" t="s">
        <v>378</v>
      </c>
      <c r="C497" s="182"/>
      <c r="D497" s="207"/>
      <c r="E497" s="210"/>
      <c r="F497" s="184">
        <f>F498+F504+F517+F537</f>
        <v>36841487</v>
      </c>
      <c r="G497" s="184">
        <f>G498+G504+G517+G537</f>
        <v>27918000</v>
      </c>
      <c r="H497" s="184">
        <f>H498+H504+H517+H537</f>
        <v>42575435</v>
      </c>
    </row>
    <row r="498" spans="1:8" ht="15">
      <c r="A498" s="199" t="s">
        <v>694</v>
      </c>
      <c r="B498" s="182" t="s">
        <v>378</v>
      </c>
      <c r="C498" s="182" t="s">
        <v>185</v>
      </c>
      <c r="D498" s="182"/>
      <c r="E498" s="183"/>
      <c r="F498" s="184">
        <f aca="true" t="shared" si="54" ref="F498:H499">F499</f>
        <v>195100</v>
      </c>
      <c r="G498" s="184">
        <f t="shared" si="54"/>
        <v>195100</v>
      </c>
      <c r="H498" s="184">
        <f t="shared" si="54"/>
        <v>195100</v>
      </c>
    </row>
    <row r="499" spans="1:8" ht="26.25" customHeight="1">
      <c r="A499" s="199" t="s">
        <v>695</v>
      </c>
      <c r="B499" s="182" t="s">
        <v>378</v>
      </c>
      <c r="C499" s="182" t="s">
        <v>185</v>
      </c>
      <c r="D499" s="182" t="s">
        <v>212</v>
      </c>
      <c r="E499" s="183"/>
      <c r="F499" s="184">
        <f t="shared" si="54"/>
        <v>195100</v>
      </c>
      <c r="G499" s="184">
        <f t="shared" si="54"/>
        <v>195100</v>
      </c>
      <c r="H499" s="184">
        <f t="shared" si="54"/>
        <v>195100</v>
      </c>
    </row>
    <row r="500" spans="1:8" ht="42" customHeight="1">
      <c r="A500" s="211" t="s">
        <v>696</v>
      </c>
      <c r="B500" s="182" t="s">
        <v>378</v>
      </c>
      <c r="C500" s="182" t="s">
        <v>185</v>
      </c>
      <c r="D500" s="182" t="s">
        <v>288</v>
      </c>
      <c r="E500" s="183"/>
      <c r="F500" s="184">
        <f>F502</f>
        <v>195100</v>
      </c>
      <c r="G500" s="184">
        <f>G502</f>
        <v>195100</v>
      </c>
      <c r="H500" s="184">
        <f>H502</f>
        <v>195100</v>
      </c>
    </row>
    <row r="501" spans="1:8" ht="30.75" customHeight="1">
      <c r="A501" s="192" t="s">
        <v>697</v>
      </c>
      <c r="B501" s="182" t="s">
        <v>378</v>
      </c>
      <c r="C501" s="182" t="s">
        <v>185</v>
      </c>
      <c r="D501" s="182" t="s">
        <v>698</v>
      </c>
      <c r="E501" s="183"/>
      <c r="F501" s="184">
        <f aca="true" t="shared" si="55" ref="F501:H502">F502</f>
        <v>195100</v>
      </c>
      <c r="G501" s="184">
        <f t="shared" si="55"/>
        <v>195100</v>
      </c>
      <c r="H501" s="184">
        <f t="shared" si="55"/>
        <v>195100</v>
      </c>
    </row>
    <row r="502" spans="1:8" ht="18.75" customHeight="1">
      <c r="A502" s="211" t="s">
        <v>699</v>
      </c>
      <c r="B502" s="182" t="s">
        <v>700</v>
      </c>
      <c r="C502" s="182" t="s">
        <v>185</v>
      </c>
      <c r="D502" s="182" t="s">
        <v>701</v>
      </c>
      <c r="E502" s="183"/>
      <c r="F502" s="184">
        <f t="shared" si="55"/>
        <v>195100</v>
      </c>
      <c r="G502" s="184">
        <f t="shared" si="55"/>
        <v>195100</v>
      </c>
      <c r="H502" s="184">
        <f t="shared" si="55"/>
        <v>195100</v>
      </c>
    </row>
    <row r="503" spans="1:8" ht="15">
      <c r="A503" s="205" t="s">
        <v>244</v>
      </c>
      <c r="B503" s="182" t="s">
        <v>700</v>
      </c>
      <c r="C503" s="182" t="s">
        <v>185</v>
      </c>
      <c r="D503" s="182" t="s">
        <v>701</v>
      </c>
      <c r="E503" s="183" t="s">
        <v>245</v>
      </c>
      <c r="F503" s="184">
        <f>180500+14600</f>
        <v>195100</v>
      </c>
      <c r="G503" s="184">
        <f>180500+14600</f>
        <v>195100</v>
      </c>
      <c r="H503" s="184">
        <f>180500+14600</f>
        <v>195100</v>
      </c>
    </row>
    <row r="504" spans="1:8" ht="17.25" customHeight="1">
      <c r="A504" s="199" t="s">
        <v>702</v>
      </c>
      <c r="B504" s="182">
        <v>10</v>
      </c>
      <c r="C504" s="182" t="s">
        <v>197</v>
      </c>
      <c r="D504" s="182"/>
      <c r="E504" s="183"/>
      <c r="F504" s="184">
        <f aca="true" t="shared" si="56" ref="F504:H506">F505</f>
        <v>9272890</v>
      </c>
      <c r="G504" s="184">
        <f t="shared" si="56"/>
        <v>9272890</v>
      </c>
      <c r="H504" s="184">
        <f t="shared" si="56"/>
        <v>9272890</v>
      </c>
    </row>
    <row r="505" spans="1:8" ht="29.25" customHeight="1">
      <c r="A505" s="199" t="s">
        <v>695</v>
      </c>
      <c r="B505" s="182">
        <v>10</v>
      </c>
      <c r="C505" s="182" t="s">
        <v>197</v>
      </c>
      <c r="D505" s="182" t="s">
        <v>212</v>
      </c>
      <c r="E505" s="183"/>
      <c r="F505" s="184">
        <f t="shared" si="56"/>
        <v>9272890</v>
      </c>
      <c r="G505" s="184">
        <f t="shared" si="56"/>
        <v>9272890</v>
      </c>
      <c r="H505" s="184">
        <f t="shared" si="56"/>
        <v>9272890</v>
      </c>
    </row>
    <row r="506" spans="1:8" ht="45" customHeight="1">
      <c r="A506" s="191" t="s">
        <v>703</v>
      </c>
      <c r="B506" s="182">
        <v>10</v>
      </c>
      <c r="C506" s="182" t="s">
        <v>197</v>
      </c>
      <c r="D506" s="182" t="s">
        <v>288</v>
      </c>
      <c r="E506" s="183"/>
      <c r="F506" s="184">
        <f t="shared" si="56"/>
        <v>9272890</v>
      </c>
      <c r="G506" s="184">
        <f t="shared" si="56"/>
        <v>9272890</v>
      </c>
      <c r="H506" s="184">
        <f t="shared" si="56"/>
        <v>9272890</v>
      </c>
    </row>
    <row r="507" spans="1:8" ht="32.25" customHeight="1">
      <c r="A507" s="191" t="s">
        <v>704</v>
      </c>
      <c r="B507" s="182">
        <v>10</v>
      </c>
      <c r="C507" s="182" t="s">
        <v>197</v>
      </c>
      <c r="D507" s="182" t="s">
        <v>705</v>
      </c>
      <c r="E507" s="183"/>
      <c r="F507" s="184">
        <f>F508+F511+F514</f>
        <v>9272890</v>
      </c>
      <c r="G507" s="184">
        <f>G508+G511+G514</f>
        <v>9272890</v>
      </c>
      <c r="H507" s="184">
        <f>H508+H511+H514</f>
        <v>9272890</v>
      </c>
    </row>
    <row r="508" spans="1:8" ht="25.5">
      <c r="A508" s="191" t="s">
        <v>706</v>
      </c>
      <c r="B508" s="182">
        <v>10</v>
      </c>
      <c r="C508" s="182" t="s">
        <v>197</v>
      </c>
      <c r="D508" s="182" t="s">
        <v>707</v>
      </c>
      <c r="E508" s="183"/>
      <c r="F508" s="184">
        <f>F510+F509</f>
        <v>39216</v>
      </c>
      <c r="G508" s="184">
        <f>G510+G509</f>
        <v>39216</v>
      </c>
      <c r="H508" s="184">
        <f>H510+H509</f>
        <v>39216</v>
      </c>
    </row>
    <row r="509" spans="1:8" ht="20.25" customHeight="1">
      <c r="A509" s="192" t="s">
        <v>206</v>
      </c>
      <c r="B509" s="182">
        <v>10</v>
      </c>
      <c r="C509" s="182" t="s">
        <v>197</v>
      </c>
      <c r="D509" s="182" t="s">
        <v>707</v>
      </c>
      <c r="E509" s="183" t="s">
        <v>207</v>
      </c>
      <c r="F509" s="184">
        <v>300</v>
      </c>
      <c r="G509" s="184">
        <v>300</v>
      </c>
      <c r="H509" s="184">
        <v>300</v>
      </c>
    </row>
    <row r="510" spans="1:8" ht="17.25" customHeight="1">
      <c r="A510" s="223" t="s">
        <v>244</v>
      </c>
      <c r="B510" s="182">
        <v>10</v>
      </c>
      <c r="C510" s="182" t="s">
        <v>197</v>
      </c>
      <c r="D510" s="182" t="s">
        <v>707</v>
      </c>
      <c r="E510" s="183" t="s">
        <v>245</v>
      </c>
      <c r="F510" s="184">
        <v>38916</v>
      </c>
      <c r="G510" s="184">
        <v>38916</v>
      </c>
      <c r="H510" s="184">
        <v>38916</v>
      </c>
    </row>
    <row r="511" spans="1:8" ht="29.25" customHeight="1">
      <c r="A511" s="191" t="s">
        <v>708</v>
      </c>
      <c r="B511" s="182">
        <v>10</v>
      </c>
      <c r="C511" s="182" t="s">
        <v>197</v>
      </c>
      <c r="D511" s="182" t="s">
        <v>709</v>
      </c>
      <c r="E511" s="183"/>
      <c r="F511" s="184">
        <f>F513+F512</f>
        <v>217901</v>
      </c>
      <c r="G511" s="184">
        <f>G513+G512</f>
        <v>217901</v>
      </c>
      <c r="H511" s="184">
        <f>H513+H512</f>
        <v>217901</v>
      </c>
    </row>
    <row r="512" spans="1:8" ht="18.75" customHeight="1">
      <c r="A512" s="192" t="s">
        <v>206</v>
      </c>
      <c r="B512" s="182">
        <v>10</v>
      </c>
      <c r="C512" s="182" t="s">
        <v>197</v>
      </c>
      <c r="D512" s="182" t="s">
        <v>709</v>
      </c>
      <c r="E512" s="183" t="s">
        <v>207</v>
      </c>
      <c r="F512" s="184">
        <v>2800</v>
      </c>
      <c r="G512" s="184">
        <v>2800</v>
      </c>
      <c r="H512" s="184">
        <v>2800</v>
      </c>
    </row>
    <row r="513" spans="1:8" ht="18" customHeight="1">
      <c r="A513" s="223" t="s">
        <v>244</v>
      </c>
      <c r="B513" s="182">
        <v>10</v>
      </c>
      <c r="C513" s="182" t="s">
        <v>197</v>
      </c>
      <c r="D513" s="182" t="s">
        <v>709</v>
      </c>
      <c r="E513" s="183" t="s">
        <v>245</v>
      </c>
      <c r="F513" s="184">
        <v>215101</v>
      </c>
      <c r="G513" s="184">
        <v>215101</v>
      </c>
      <c r="H513" s="184">
        <v>215101</v>
      </c>
    </row>
    <row r="514" spans="1:8" ht="20.25" customHeight="1">
      <c r="A514" s="199" t="s">
        <v>710</v>
      </c>
      <c r="B514" s="182">
        <v>10</v>
      </c>
      <c r="C514" s="182" t="s">
        <v>197</v>
      </c>
      <c r="D514" s="182" t="s">
        <v>711</v>
      </c>
      <c r="E514" s="183"/>
      <c r="F514" s="184">
        <f>F516+F515</f>
        <v>9015773</v>
      </c>
      <c r="G514" s="184">
        <f>G516+G515</f>
        <v>9015773</v>
      </c>
      <c r="H514" s="184">
        <f>H516+H515</f>
        <v>9015773</v>
      </c>
    </row>
    <row r="515" spans="1:8" ht="18.75" customHeight="1">
      <c r="A515" s="192" t="s">
        <v>206</v>
      </c>
      <c r="B515" s="182">
        <v>10</v>
      </c>
      <c r="C515" s="182" t="s">
        <v>197</v>
      </c>
      <c r="D515" s="182" t="s">
        <v>711</v>
      </c>
      <c r="E515" s="183" t="s">
        <v>207</v>
      </c>
      <c r="F515" s="184">
        <v>103200</v>
      </c>
      <c r="G515" s="184">
        <v>103200</v>
      </c>
      <c r="H515" s="184">
        <v>103200</v>
      </c>
    </row>
    <row r="516" spans="1:8" ht="20.25" customHeight="1">
      <c r="A516" s="223" t="s">
        <v>244</v>
      </c>
      <c r="B516" s="182">
        <v>10</v>
      </c>
      <c r="C516" s="182" t="s">
        <v>197</v>
      </c>
      <c r="D516" s="182" t="s">
        <v>711</v>
      </c>
      <c r="E516" s="183" t="s">
        <v>245</v>
      </c>
      <c r="F516" s="184">
        <v>8912573</v>
      </c>
      <c r="G516" s="184">
        <v>8912573</v>
      </c>
      <c r="H516" s="184">
        <v>8912573</v>
      </c>
    </row>
    <row r="517" spans="1:8" ht="14.25" customHeight="1">
      <c r="A517" s="199" t="s">
        <v>712</v>
      </c>
      <c r="B517" s="182">
        <v>10</v>
      </c>
      <c r="C517" s="182" t="s">
        <v>210</v>
      </c>
      <c r="D517" s="182"/>
      <c r="E517" s="183"/>
      <c r="F517" s="184">
        <f>F518+F532+F527</f>
        <v>23892497</v>
      </c>
      <c r="G517" s="184">
        <f>G518+G532+G527</f>
        <v>14969010</v>
      </c>
      <c r="H517" s="184">
        <f>H518+H532+H527</f>
        <v>29626445</v>
      </c>
    </row>
    <row r="518" spans="1:8" ht="30.75" customHeight="1">
      <c r="A518" s="199" t="s">
        <v>286</v>
      </c>
      <c r="B518" s="182">
        <v>10</v>
      </c>
      <c r="C518" s="182" t="s">
        <v>210</v>
      </c>
      <c r="D518" s="229" t="s">
        <v>212</v>
      </c>
      <c r="E518" s="183"/>
      <c r="F518" s="184">
        <f>F519</f>
        <v>22751255</v>
      </c>
      <c r="G518" s="184">
        <f>G519</f>
        <v>14054527</v>
      </c>
      <c r="H518" s="184">
        <f>H519</f>
        <v>28549075</v>
      </c>
    </row>
    <row r="519" spans="1:8" ht="51">
      <c r="A519" s="230" t="s">
        <v>713</v>
      </c>
      <c r="B519" s="182" t="s">
        <v>378</v>
      </c>
      <c r="C519" s="182" t="s">
        <v>210</v>
      </c>
      <c r="D519" s="182" t="s">
        <v>214</v>
      </c>
      <c r="E519" s="183"/>
      <c r="F519" s="184">
        <f>F523+F520</f>
        <v>22751255</v>
      </c>
      <c r="G519" s="184">
        <f>G523+G520</f>
        <v>14054527</v>
      </c>
      <c r="H519" s="184">
        <f>H523+H520</f>
        <v>28549075</v>
      </c>
    </row>
    <row r="520" spans="1:8" ht="38.25">
      <c r="A520" s="199" t="s">
        <v>714</v>
      </c>
      <c r="B520" s="182" t="s">
        <v>378</v>
      </c>
      <c r="C520" s="182" t="s">
        <v>210</v>
      </c>
      <c r="D520" s="190" t="s">
        <v>715</v>
      </c>
      <c r="E520" s="183"/>
      <c r="F520" s="184">
        <f aca="true" t="shared" si="57" ref="F520:H521">F521</f>
        <v>11155617</v>
      </c>
      <c r="G520" s="184">
        <f t="shared" si="57"/>
        <v>11155617</v>
      </c>
      <c r="H520" s="184">
        <f t="shared" si="57"/>
        <v>11155617</v>
      </c>
    </row>
    <row r="521" spans="1:8" ht="25.5">
      <c r="A521" s="191" t="s">
        <v>716</v>
      </c>
      <c r="B521" s="182" t="s">
        <v>378</v>
      </c>
      <c r="C521" s="182" t="s">
        <v>210</v>
      </c>
      <c r="D521" s="190" t="s">
        <v>717</v>
      </c>
      <c r="E521" s="183"/>
      <c r="F521" s="184">
        <f t="shared" si="57"/>
        <v>11155617</v>
      </c>
      <c r="G521" s="184">
        <f t="shared" si="57"/>
        <v>11155617</v>
      </c>
      <c r="H521" s="184">
        <f t="shared" si="57"/>
        <v>11155617</v>
      </c>
    </row>
    <row r="522" spans="1:8" ht="15">
      <c r="A522" s="223" t="s">
        <v>244</v>
      </c>
      <c r="B522" s="182" t="s">
        <v>378</v>
      </c>
      <c r="C522" s="182" t="s">
        <v>210</v>
      </c>
      <c r="D522" s="190" t="s">
        <v>717</v>
      </c>
      <c r="E522" s="183" t="s">
        <v>245</v>
      </c>
      <c r="F522" s="184">
        <f>1760240+9395377</f>
        <v>11155617</v>
      </c>
      <c r="G522" s="184">
        <f>1760240+9395377</f>
        <v>11155617</v>
      </c>
      <c r="H522" s="184">
        <f>1760240+9395377</f>
        <v>11155617</v>
      </c>
    </row>
    <row r="523" spans="1:8" ht="25.5">
      <c r="A523" s="195" t="s">
        <v>215</v>
      </c>
      <c r="B523" s="182" t="s">
        <v>378</v>
      </c>
      <c r="C523" s="182" t="s">
        <v>210</v>
      </c>
      <c r="D523" s="190" t="s">
        <v>216</v>
      </c>
      <c r="E523" s="183"/>
      <c r="F523" s="184">
        <f>F524</f>
        <v>11595638</v>
      </c>
      <c r="G523" s="184">
        <f>G524</f>
        <v>2898910</v>
      </c>
      <c r="H523" s="184">
        <f>H524</f>
        <v>17393458</v>
      </c>
    </row>
    <row r="524" spans="1:8" ht="38.25">
      <c r="A524" s="196" t="s">
        <v>217</v>
      </c>
      <c r="B524" s="182">
        <v>10</v>
      </c>
      <c r="C524" s="182" t="s">
        <v>210</v>
      </c>
      <c r="D524" s="182" t="s">
        <v>218</v>
      </c>
      <c r="E524" s="183"/>
      <c r="F524" s="184">
        <f>F526+F525</f>
        <v>11595638</v>
      </c>
      <c r="G524" s="184">
        <f>G526+G525</f>
        <v>2898910</v>
      </c>
      <c r="H524" s="184">
        <f>H526+H525</f>
        <v>17393458</v>
      </c>
    </row>
    <row r="525" spans="1:8" ht="25.5">
      <c r="A525" s="192" t="s">
        <v>206</v>
      </c>
      <c r="B525" s="182">
        <v>10</v>
      </c>
      <c r="C525" s="182" t="s">
        <v>210</v>
      </c>
      <c r="D525" s="182" t="s">
        <v>218</v>
      </c>
      <c r="E525" s="183" t="s">
        <v>207</v>
      </c>
      <c r="F525" s="184">
        <v>24000</v>
      </c>
      <c r="G525" s="184">
        <v>6000</v>
      </c>
      <c r="H525" s="184">
        <v>36000</v>
      </c>
    </row>
    <row r="526" spans="1:8" ht="20.25" customHeight="1">
      <c r="A526" s="199" t="s">
        <v>429</v>
      </c>
      <c r="B526" s="182">
        <v>10</v>
      </c>
      <c r="C526" s="182" t="s">
        <v>210</v>
      </c>
      <c r="D526" s="182" t="s">
        <v>218</v>
      </c>
      <c r="E526" s="183" t="s">
        <v>430</v>
      </c>
      <c r="F526" s="184">
        <v>11571638</v>
      </c>
      <c r="G526" s="184">
        <v>2892910</v>
      </c>
      <c r="H526" s="184">
        <v>17357458</v>
      </c>
    </row>
    <row r="527" spans="1:8" ht="29.25" customHeight="1">
      <c r="A527" s="199" t="s">
        <v>718</v>
      </c>
      <c r="B527" s="182">
        <v>10</v>
      </c>
      <c r="C527" s="182" t="s">
        <v>210</v>
      </c>
      <c r="D527" s="229" t="s">
        <v>302</v>
      </c>
      <c r="E527" s="183"/>
      <c r="F527" s="184">
        <f aca="true" t="shared" si="58" ref="F527:H530">F528</f>
        <v>1141242</v>
      </c>
      <c r="G527" s="184">
        <f t="shared" si="58"/>
        <v>686442</v>
      </c>
      <c r="H527" s="184">
        <f t="shared" si="58"/>
        <v>686442</v>
      </c>
    </row>
    <row r="528" spans="1:8" ht="42" customHeight="1">
      <c r="A528" s="222" t="s">
        <v>529</v>
      </c>
      <c r="B528" s="182">
        <v>10</v>
      </c>
      <c r="C528" s="182" t="s">
        <v>210</v>
      </c>
      <c r="D528" s="229" t="s">
        <v>530</v>
      </c>
      <c r="E528" s="183"/>
      <c r="F528" s="184">
        <f t="shared" si="58"/>
        <v>1141242</v>
      </c>
      <c r="G528" s="184">
        <f t="shared" si="58"/>
        <v>686442</v>
      </c>
      <c r="H528" s="184">
        <f t="shared" si="58"/>
        <v>686442</v>
      </c>
    </row>
    <row r="529" spans="1:8" ht="29.25" customHeight="1">
      <c r="A529" s="199" t="s">
        <v>531</v>
      </c>
      <c r="B529" s="182">
        <v>10</v>
      </c>
      <c r="C529" s="182" t="s">
        <v>210</v>
      </c>
      <c r="D529" s="229" t="s">
        <v>532</v>
      </c>
      <c r="E529" s="183"/>
      <c r="F529" s="184">
        <f t="shared" si="58"/>
        <v>1141242</v>
      </c>
      <c r="G529" s="184">
        <f t="shared" si="58"/>
        <v>686442</v>
      </c>
      <c r="H529" s="184">
        <f t="shared" si="58"/>
        <v>686442</v>
      </c>
    </row>
    <row r="530" spans="1:8" ht="16.5" customHeight="1">
      <c r="A530" s="191" t="s">
        <v>719</v>
      </c>
      <c r="B530" s="182">
        <v>10</v>
      </c>
      <c r="C530" s="182" t="s">
        <v>210</v>
      </c>
      <c r="D530" s="229" t="s">
        <v>720</v>
      </c>
      <c r="E530" s="183"/>
      <c r="F530" s="184">
        <f t="shared" si="58"/>
        <v>1141242</v>
      </c>
      <c r="G530" s="184">
        <f t="shared" si="58"/>
        <v>686442</v>
      </c>
      <c r="H530" s="184">
        <f t="shared" si="58"/>
        <v>686442</v>
      </c>
    </row>
    <row r="531" spans="1:8" ht="16.5" customHeight="1">
      <c r="A531" s="223" t="s">
        <v>244</v>
      </c>
      <c r="B531" s="182">
        <v>10</v>
      </c>
      <c r="C531" s="182" t="s">
        <v>210</v>
      </c>
      <c r="D531" s="229" t="s">
        <v>720</v>
      </c>
      <c r="E531" s="183" t="s">
        <v>245</v>
      </c>
      <c r="F531" s="184">
        <v>1141242</v>
      </c>
      <c r="G531" s="184">
        <v>686442</v>
      </c>
      <c r="H531" s="184">
        <v>686442</v>
      </c>
    </row>
    <row r="532" spans="1:8" ht="45.75" customHeight="1">
      <c r="A532" s="209" t="s">
        <v>455</v>
      </c>
      <c r="B532" s="182" t="s">
        <v>378</v>
      </c>
      <c r="C532" s="182" t="s">
        <v>210</v>
      </c>
      <c r="D532" s="182" t="s">
        <v>456</v>
      </c>
      <c r="E532" s="183"/>
      <c r="F532" s="184">
        <f aca="true" t="shared" si="59" ref="F532:H535">F533</f>
        <v>0</v>
      </c>
      <c r="G532" s="184">
        <f t="shared" si="59"/>
        <v>228041</v>
      </c>
      <c r="H532" s="184">
        <f t="shared" si="59"/>
        <v>390928</v>
      </c>
    </row>
    <row r="533" spans="1:8" ht="60" customHeight="1">
      <c r="A533" s="211" t="s">
        <v>457</v>
      </c>
      <c r="B533" s="182" t="s">
        <v>378</v>
      </c>
      <c r="C533" s="182" t="s">
        <v>210</v>
      </c>
      <c r="D533" s="182" t="s">
        <v>458</v>
      </c>
      <c r="E533" s="183"/>
      <c r="F533" s="184">
        <f t="shared" si="59"/>
        <v>0</v>
      </c>
      <c r="G533" s="184">
        <f t="shared" si="59"/>
        <v>228041</v>
      </c>
      <c r="H533" s="184">
        <f t="shared" si="59"/>
        <v>390928</v>
      </c>
    </row>
    <row r="534" spans="1:8" ht="35.25" customHeight="1">
      <c r="A534" s="199" t="s">
        <v>721</v>
      </c>
      <c r="B534" s="182" t="s">
        <v>378</v>
      </c>
      <c r="C534" s="182" t="s">
        <v>210</v>
      </c>
      <c r="D534" s="182" t="s">
        <v>722</v>
      </c>
      <c r="E534" s="183"/>
      <c r="F534" s="184">
        <f t="shared" si="59"/>
        <v>0</v>
      </c>
      <c r="G534" s="184">
        <f t="shared" si="59"/>
        <v>228041</v>
      </c>
      <c r="H534" s="184">
        <f t="shared" si="59"/>
        <v>390928</v>
      </c>
    </row>
    <row r="535" spans="1:8" ht="20.25" customHeight="1">
      <c r="A535" s="199" t="s">
        <v>723</v>
      </c>
      <c r="B535" s="182" t="s">
        <v>378</v>
      </c>
      <c r="C535" s="182" t="s">
        <v>210</v>
      </c>
      <c r="D535" s="182" t="s">
        <v>724</v>
      </c>
      <c r="E535" s="183"/>
      <c r="F535" s="184">
        <f t="shared" si="59"/>
        <v>0</v>
      </c>
      <c r="G535" s="184">
        <f t="shared" si="59"/>
        <v>228041</v>
      </c>
      <c r="H535" s="184">
        <f t="shared" si="59"/>
        <v>390928</v>
      </c>
    </row>
    <row r="536" spans="1:8" ht="20.25" customHeight="1">
      <c r="A536" s="223" t="s">
        <v>244</v>
      </c>
      <c r="B536" s="182" t="s">
        <v>378</v>
      </c>
      <c r="C536" s="182" t="s">
        <v>210</v>
      </c>
      <c r="D536" s="182" t="s">
        <v>724</v>
      </c>
      <c r="E536" s="183" t="s">
        <v>245</v>
      </c>
      <c r="F536" s="184">
        <v>0</v>
      </c>
      <c r="G536" s="184">
        <v>228041</v>
      </c>
      <c r="H536" s="184">
        <v>390928</v>
      </c>
    </row>
    <row r="537" spans="1:8" ht="20.25" customHeight="1">
      <c r="A537" s="223" t="s">
        <v>725</v>
      </c>
      <c r="B537" s="182" t="s">
        <v>378</v>
      </c>
      <c r="C537" s="182" t="s">
        <v>262</v>
      </c>
      <c r="D537" s="182"/>
      <c r="E537" s="183"/>
      <c r="F537" s="184">
        <f>F539+F544</f>
        <v>3481000</v>
      </c>
      <c r="G537" s="184">
        <f>G539+G544</f>
        <v>3481000</v>
      </c>
      <c r="H537" s="184">
        <f>H539+H544</f>
        <v>3481000</v>
      </c>
    </row>
    <row r="538" spans="1:8" ht="30.75" customHeight="1">
      <c r="A538" s="199" t="s">
        <v>286</v>
      </c>
      <c r="B538" s="182">
        <v>10</v>
      </c>
      <c r="C538" s="182" t="s">
        <v>210</v>
      </c>
      <c r="D538" s="229" t="s">
        <v>212</v>
      </c>
      <c r="E538" s="183"/>
      <c r="F538" s="184">
        <f>F539+F544</f>
        <v>3481000</v>
      </c>
      <c r="G538" s="184">
        <f>G539+G544</f>
        <v>3481000</v>
      </c>
      <c r="H538" s="184">
        <f>H539+H544</f>
        <v>3481000</v>
      </c>
    </row>
    <row r="539" spans="1:8" ht="57" customHeight="1">
      <c r="A539" s="192" t="s">
        <v>726</v>
      </c>
      <c r="B539" s="231" t="s">
        <v>378</v>
      </c>
      <c r="C539" s="231" t="s">
        <v>262</v>
      </c>
      <c r="D539" s="232" t="s">
        <v>214</v>
      </c>
      <c r="E539" s="233"/>
      <c r="F539" s="234">
        <f aca="true" t="shared" si="60" ref="F539:H540">F540</f>
        <v>1044300</v>
      </c>
      <c r="G539" s="234">
        <f t="shared" si="60"/>
        <v>1044300</v>
      </c>
      <c r="H539" s="234">
        <f t="shared" si="60"/>
        <v>1044300</v>
      </c>
    </row>
    <row r="540" spans="1:8" ht="46.5" customHeight="1">
      <c r="A540" s="195" t="s">
        <v>293</v>
      </c>
      <c r="B540" s="182" t="s">
        <v>378</v>
      </c>
      <c r="C540" s="182" t="s">
        <v>262</v>
      </c>
      <c r="D540" s="190" t="s">
        <v>294</v>
      </c>
      <c r="E540" s="193"/>
      <c r="F540" s="184">
        <f t="shared" si="60"/>
        <v>1044300</v>
      </c>
      <c r="G540" s="184">
        <f t="shared" si="60"/>
        <v>1044300</v>
      </c>
      <c r="H540" s="184">
        <f t="shared" si="60"/>
        <v>1044300</v>
      </c>
    </row>
    <row r="541" spans="1:8" ht="39" customHeight="1">
      <c r="A541" s="196" t="s">
        <v>727</v>
      </c>
      <c r="B541" s="182" t="s">
        <v>378</v>
      </c>
      <c r="C541" s="182" t="s">
        <v>262</v>
      </c>
      <c r="D541" s="190" t="s">
        <v>728</v>
      </c>
      <c r="E541" s="193"/>
      <c r="F541" s="184">
        <f>F542+F543</f>
        <v>1044300</v>
      </c>
      <c r="G541" s="184">
        <f>G542+G543</f>
        <v>1044300</v>
      </c>
      <c r="H541" s="184">
        <f>H542+H543</f>
        <v>1044300</v>
      </c>
    </row>
    <row r="542" spans="1:8" ht="43.5" customHeight="1">
      <c r="A542" s="192" t="s">
        <v>194</v>
      </c>
      <c r="B542" s="182" t="s">
        <v>378</v>
      </c>
      <c r="C542" s="182" t="s">
        <v>262</v>
      </c>
      <c r="D542" s="190" t="s">
        <v>728</v>
      </c>
      <c r="E542" s="193" t="s">
        <v>195</v>
      </c>
      <c r="F542" s="184">
        <v>1044300</v>
      </c>
      <c r="G542" s="184">
        <v>1044300</v>
      </c>
      <c r="H542" s="184">
        <v>1044300</v>
      </c>
    </row>
    <row r="543" spans="1:8" ht="34.5" customHeight="1" hidden="1">
      <c r="A543" s="192" t="s">
        <v>206</v>
      </c>
      <c r="B543" s="182" t="s">
        <v>378</v>
      </c>
      <c r="C543" s="182" t="s">
        <v>262</v>
      </c>
      <c r="D543" s="190" t="s">
        <v>728</v>
      </c>
      <c r="E543" s="193" t="s">
        <v>207</v>
      </c>
      <c r="F543" s="184"/>
      <c r="G543" s="184"/>
      <c r="H543" s="184"/>
    </row>
    <row r="544" spans="1:8" ht="45.75" customHeight="1">
      <c r="A544" s="191" t="s">
        <v>729</v>
      </c>
      <c r="B544" s="231" t="s">
        <v>378</v>
      </c>
      <c r="C544" s="231" t="s">
        <v>262</v>
      </c>
      <c r="D544" s="232" t="s">
        <v>730</v>
      </c>
      <c r="E544" s="225"/>
      <c r="F544" s="234">
        <f aca="true" t="shared" si="61" ref="F544:H545">F545</f>
        <v>2436700</v>
      </c>
      <c r="G544" s="234">
        <f t="shared" si="61"/>
        <v>2436700</v>
      </c>
      <c r="H544" s="234">
        <f t="shared" si="61"/>
        <v>2436700</v>
      </c>
    </row>
    <row r="545" spans="1:8" ht="34.5" customHeight="1">
      <c r="A545" s="197" t="s">
        <v>731</v>
      </c>
      <c r="B545" s="182" t="s">
        <v>378</v>
      </c>
      <c r="C545" s="182" t="s">
        <v>262</v>
      </c>
      <c r="D545" s="190" t="s">
        <v>732</v>
      </c>
      <c r="E545" s="183"/>
      <c r="F545" s="184">
        <f t="shared" si="61"/>
        <v>2436700</v>
      </c>
      <c r="G545" s="184">
        <f t="shared" si="61"/>
        <v>2436700</v>
      </c>
      <c r="H545" s="184">
        <f t="shared" si="61"/>
        <v>2436700</v>
      </c>
    </row>
    <row r="546" spans="1:8" ht="30.75" customHeight="1">
      <c r="A546" s="191" t="s">
        <v>733</v>
      </c>
      <c r="B546" s="182" t="s">
        <v>378</v>
      </c>
      <c r="C546" s="182" t="s">
        <v>262</v>
      </c>
      <c r="D546" s="190" t="s">
        <v>734</v>
      </c>
      <c r="E546" s="183"/>
      <c r="F546" s="184">
        <f>F547+F548</f>
        <v>2436700</v>
      </c>
      <c r="G546" s="184">
        <f>G547+G548</f>
        <v>2436700</v>
      </c>
      <c r="H546" s="184">
        <f>H547+H548</f>
        <v>2436700</v>
      </c>
    </row>
    <row r="547" spans="1:8" ht="43.5" customHeight="1">
      <c r="A547" s="192" t="s">
        <v>194</v>
      </c>
      <c r="B547" s="182" t="s">
        <v>378</v>
      </c>
      <c r="C547" s="182" t="s">
        <v>262</v>
      </c>
      <c r="D547" s="190" t="s">
        <v>734</v>
      </c>
      <c r="E547" s="193" t="s">
        <v>195</v>
      </c>
      <c r="F547" s="184">
        <v>2436700</v>
      </c>
      <c r="G547" s="184">
        <v>2436700</v>
      </c>
      <c r="H547" s="184">
        <v>2436700</v>
      </c>
    </row>
    <row r="548" spans="1:8" ht="31.5" customHeight="1" hidden="1">
      <c r="A548" s="192" t="s">
        <v>206</v>
      </c>
      <c r="B548" s="182" t="s">
        <v>378</v>
      </c>
      <c r="C548" s="182" t="s">
        <v>262</v>
      </c>
      <c r="D548" s="190" t="s">
        <v>734</v>
      </c>
      <c r="E548" s="193" t="s">
        <v>207</v>
      </c>
      <c r="F548" s="184"/>
      <c r="G548" s="184"/>
      <c r="H548" s="184"/>
    </row>
    <row r="549" spans="1:8" ht="21" customHeight="1">
      <c r="A549" s="199" t="s">
        <v>735</v>
      </c>
      <c r="B549" s="182" t="s">
        <v>277</v>
      </c>
      <c r="C549" s="182"/>
      <c r="D549" s="182"/>
      <c r="E549" s="183"/>
      <c r="F549" s="184">
        <f>F550+F559</f>
        <v>7741000.000000001</v>
      </c>
      <c r="G549" s="184">
        <f>G550+G559</f>
        <v>6622836</v>
      </c>
      <c r="H549" s="184">
        <f>H550+H559</f>
        <v>6730411</v>
      </c>
    </row>
    <row r="550" spans="1:8" ht="21" customHeight="1">
      <c r="A550" s="199" t="s">
        <v>736</v>
      </c>
      <c r="B550" s="182" t="s">
        <v>277</v>
      </c>
      <c r="C550" s="182" t="s">
        <v>185</v>
      </c>
      <c r="D550" s="182"/>
      <c r="E550" s="183"/>
      <c r="F550" s="184">
        <f aca="true" t="shared" si="62" ref="F550:H551">F551</f>
        <v>171525.69</v>
      </c>
      <c r="G550" s="184">
        <f t="shared" si="62"/>
        <v>100000</v>
      </c>
      <c r="H550" s="184">
        <f t="shared" si="62"/>
        <v>100000</v>
      </c>
    </row>
    <row r="551" spans="1:8" ht="43.5" customHeight="1">
      <c r="A551" s="199" t="s">
        <v>621</v>
      </c>
      <c r="B551" s="182" t="s">
        <v>277</v>
      </c>
      <c r="C551" s="182" t="s">
        <v>185</v>
      </c>
      <c r="D551" s="207" t="s">
        <v>622</v>
      </c>
      <c r="E551" s="183"/>
      <c r="F551" s="184">
        <f t="shared" si="62"/>
        <v>171525.69</v>
      </c>
      <c r="G551" s="184">
        <f t="shared" si="62"/>
        <v>100000</v>
      </c>
      <c r="H551" s="184">
        <f t="shared" si="62"/>
        <v>100000</v>
      </c>
    </row>
    <row r="552" spans="1:8" ht="69" customHeight="1">
      <c r="A552" s="211" t="s">
        <v>737</v>
      </c>
      <c r="B552" s="182" t="s">
        <v>277</v>
      </c>
      <c r="C552" s="182" t="s">
        <v>185</v>
      </c>
      <c r="D552" s="207" t="s">
        <v>738</v>
      </c>
      <c r="E552" s="183"/>
      <c r="F552" s="184">
        <f>F553+F556</f>
        <v>171525.69</v>
      </c>
      <c r="G552" s="184">
        <f>G553+G556</f>
        <v>100000</v>
      </c>
      <c r="H552" s="184">
        <f>H553+H556</f>
        <v>100000</v>
      </c>
    </row>
    <row r="553" spans="1:8" ht="41.25" customHeight="1">
      <c r="A553" s="211" t="s">
        <v>739</v>
      </c>
      <c r="B553" s="182" t="s">
        <v>277</v>
      </c>
      <c r="C553" s="182" t="s">
        <v>185</v>
      </c>
      <c r="D553" s="207" t="s">
        <v>740</v>
      </c>
      <c r="E553" s="183"/>
      <c r="F553" s="184">
        <f aca="true" t="shared" si="63" ref="F553:H554">F554</f>
        <v>100000</v>
      </c>
      <c r="G553" s="184">
        <f t="shared" si="63"/>
        <v>100000</v>
      </c>
      <c r="H553" s="184">
        <f t="shared" si="63"/>
        <v>100000</v>
      </c>
    </row>
    <row r="554" spans="1:8" ht="42.75" customHeight="1">
      <c r="A554" s="199" t="s">
        <v>741</v>
      </c>
      <c r="B554" s="182" t="s">
        <v>277</v>
      </c>
      <c r="C554" s="182" t="s">
        <v>185</v>
      </c>
      <c r="D554" s="207" t="s">
        <v>742</v>
      </c>
      <c r="E554" s="183"/>
      <c r="F554" s="184">
        <f t="shared" si="63"/>
        <v>100000</v>
      </c>
      <c r="G554" s="184">
        <f t="shared" si="63"/>
        <v>100000</v>
      </c>
      <c r="H554" s="184">
        <f t="shared" si="63"/>
        <v>100000</v>
      </c>
    </row>
    <row r="555" spans="1:8" ht="25.5">
      <c r="A555" s="192" t="s">
        <v>206</v>
      </c>
      <c r="B555" s="182" t="s">
        <v>277</v>
      </c>
      <c r="C555" s="182" t="s">
        <v>185</v>
      </c>
      <c r="D555" s="207" t="s">
        <v>742</v>
      </c>
      <c r="E555" s="183" t="s">
        <v>207</v>
      </c>
      <c r="F555" s="184">
        <v>100000</v>
      </c>
      <c r="G555" s="184">
        <v>100000</v>
      </c>
      <c r="H555" s="184">
        <v>100000</v>
      </c>
    </row>
    <row r="556" spans="1:8" ht="43.5" customHeight="1">
      <c r="A556" s="230" t="s">
        <v>743</v>
      </c>
      <c r="B556" s="182" t="s">
        <v>277</v>
      </c>
      <c r="C556" s="182" t="s">
        <v>185</v>
      </c>
      <c r="D556" s="207" t="s">
        <v>744</v>
      </c>
      <c r="E556" s="183"/>
      <c r="F556" s="184">
        <f aca="true" t="shared" si="64" ref="F556:H557">F557</f>
        <v>71525.69</v>
      </c>
      <c r="G556" s="184">
        <f t="shared" si="64"/>
        <v>0</v>
      </c>
      <c r="H556" s="184">
        <f t="shared" si="64"/>
        <v>0</v>
      </c>
    </row>
    <row r="557" spans="1:8" ht="16.5" customHeight="1">
      <c r="A557" s="199" t="s">
        <v>366</v>
      </c>
      <c r="B557" s="182" t="s">
        <v>277</v>
      </c>
      <c r="C557" s="182" t="s">
        <v>185</v>
      </c>
      <c r="D557" s="207" t="s">
        <v>745</v>
      </c>
      <c r="E557" s="183"/>
      <c r="F557" s="184">
        <f t="shared" si="64"/>
        <v>71525.69</v>
      </c>
      <c r="G557" s="184">
        <f t="shared" si="64"/>
        <v>0</v>
      </c>
      <c r="H557" s="184">
        <f t="shared" si="64"/>
        <v>0</v>
      </c>
    </row>
    <row r="558" spans="1:8" ht="27" customHeight="1">
      <c r="A558" s="192" t="s">
        <v>206</v>
      </c>
      <c r="B558" s="182" t="s">
        <v>277</v>
      </c>
      <c r="C558" s="182" t="s">
        <v>185</v>
      </c>
      <c r="D558" s="207" t="s">
        <v>745</v>
      </c>
      <c r="E558" s="183" t="s">
        <v>207</v>
      </c>
      <c r="F558" s="184">
        <v>71525.69</v>
      </c>
      <c r="G558" s="184">
        <v>0</v>
      </c>
      <c r="H558" s="184">
        <v>0</v>
      </c>
    </row>
    <row r="559" spans="1:8" ht="15">
      <c r="A559" s="199" t="s">
        <v>746</v>
      </c>
      <c r="B559" s="182" t="s">
        <v>277</v>
      </c>
      <c r="C559" s="182" t="s">
        <v>197</v>
      </c>
      <c r="D559" s="182"/>
      <c r="E559" s="183"/>
      <c r="F559" s="184">
        <f aca="true" t="shared" si="65" ref="F559:H560">F560</f>
        <v>7569474.3100000005</v>
      </c>
      <c r="G559" s="184">
        <f t="shared" si="65"/>
        <v>6522836</v>
      </c>
      <c r="H559" s="184">
        <f t="shared" si="65"/>
        <v>6630411</v>
      </c>
    </row>
    <row r="560" spans="1:8" ht="43.5" customHeight="1">
      <c r="A560" s="199" t="s">
        <v>621</v>
      </c>
      <c r="B560" s="182" t="s">
        <v>277</v>
      </c>
      <c r="C560" s="182" t="s">
        <v>197</v>
      </c>
      <c r="D560" s="207" t="s">
        <v>622</v>
      </c>
      <c r="E560" s="183"/>
      <c r="F560" s="184">
        <f t="shared" si="65"/>
        <v>7569474.3100000005</v>
      </c>
      <c r="G560" s="184">
        <f t="shared" si="65"/>
        <v>6522836</v>
      </c>
      <c r="H560" s="184">
        <f t="shared" si="65"/>
        <v>6630411</v>
      </c>
    </row>
    <row r="561" spans="1:8" ht="65.25" customHeight="1">
      <c r="A561" s="211" t="s">
        <v>737</v>
      </c>
      <c r="B561" s="182" t="s">
        <v>277</v>
      </c>
      <c r="C561" s="182" t="s">
        <v>197</v>
      </c>
      <c r="D561" s="207" t="s">
        <v>738</v>
      </c>
      <c r="E561" s="183"/>
      <c r="F561" s="184">
        <f>F566</f>
        <v>7569474.3100000005</v>
      </c>
      <c r="G561" s="184">
        <f>G566</f>
        <v>6522836</v>
      </c>
      <c r="H561" s="184">
        <f>H566</f>
        <v>6630411</v>
      </c>
    </row>
    <row r="562" spans="1:8" ht="44.25" customHeight="1" hidden="1">
      <c r="A562" s="211" t="s">
        <v>739</v>
      </c>
      <c r="B562" s="182" t="s">
        <v>277</v>
      </c>
      <c r="C562" s="182" t="s">
        <v>197</v>
      </c>
      <c r="D562" s="207" t="s">
        <v>740</v>
      </c>
      <c r="E562" s="183"/>
      <c r="F562" s="184">
        <f>F563</f>
        <v>0</v>
      </c>
      <c r="G562" s="184">
        <f>G563</f>
        <v>0</v>
      </c>
      <c r="H562" s="184">
        <f>H563</f>
        <v>0</v>
      </c>
    </row>
    <row r="563" spans="1:8" ht="39.75" customHeight="1" hidden="1">
      <c r="A563" s="199" t="s">
        <v>741</v>
      </c>
      <c r="B563" s="182" t="s">
        <v>277</v>
      </c>
      <c r="C563" s="182" t="s">
        <v>197</v>
      </c>
      <c r="D563" s="207" t="s">
        <v>742</v>
      </c>
      <c r="E563" s="183"/>
      <c r="F563" s="184">
        <f>F565+F564</f>
        <v>0</v>
      </c>
      <c r="G563" s="184">
        <f>G565+G564</f>
        <v>0</v>
      </c>
      <c r="H563" s="184">
        <f>H565+H564</f>
        <v>0</v>
      </c>
    </row>
    <row r="564" spans="1:8" ht="43.5" customHeight="1" hidden="1">
      <c r="A564" s="192" t="s">
        <v>194</v>
      </c>
      <c r="B564" s="182" t="s">
        <v>277</v>
      </c>
      <c r="C564" s="182" t="s">
        <v>197</v>
      </c>
      <c r="D564" s="207" t="s">
        <v>742</v>
      </c>
      <c r="E564" s="183" t="s">
        <v>195</v>
      </c>
      <c r="F564" s="184">
        <f>3195-3195</f>
        <v>0</v>
      </c>
      <c r="G564" s="184">
        <f>3195-3195</f>
        <v>0</v>
      </c>
      <c r="H564" s="184">
        <f>3195-3195</f>
        <v>0</v>
      </c>
    </row>
    <row r="565" spans="1:8" ht="25.5" hidden="1">
      <c r="A565" s="192" t="s">
        <v>206</v>
      </c>
      <c r="B565" s="182" t="s">
        <v>277</v>
      </c>
      <c r="C565" s="182" t="s">
        <v>197</v>
      </c>
      <c r="D565" s="207" t="s">
        <v>742</v>
      </c>
      <c r="E565" s="183" t="s">
        <v>207</v>
      </c>
      <c r="F565" s="184"/>
      <c r="G565" s="184"/>
      <c r="H565" s="184"/>
    </row>
    <row r="566" spans="1:8" ht="43.5" customHeight="1">
      <c r="A566" s="230" t="s">
        <v>743</v>
      </c>
      <c r="B566" s="182" t="s">
        <v>277</v>
      </c>
      <c r="C566" s="182" t="s">
        <v>197</v>
      </c>
      <c r="D566" s="207" t="s">
        <v>744</v>
      </c>
      <c r="E566" s="183"/>
      <c r="F566" s="184">
        <f>F567</f>
        <v>7569474.3100000005</v>
      </c>
      <c r="G566" s="184">
        <f>G567</f>
        <v>6522836</v>
      </c>
      <c r="H566" s="184">
        <f>H567</f>
        <v>6630411</v>
      </c>
    </row>
    <row r="567" spans="1:8" ht="16.5" customHeight="1">
      <c r="A567" s="199" t="s">
        <v>366</v>
      </c>
      <c r="B567" s="182" t="s">
        <v>277</v>
      </c>
      <c r="C567" s="182" t="s">
        <v>197</v>
      </c>
      <c r="D567" s="207" t="s">
        <v>745</v>
      </c>
      <c r="E567" s="183"/>
      <c r="F567" s="184">
        <f>F569+F568+F570</f>
        <v>7569474.3100000005</v>
      </c>
      <c r="G567" s="184">
        <f>G569+G568+G570</f>
        <v>6522836</v>
      </c>
      <c r="H567" s="184">
        <f>H569+H568+H570</f>
        <v>6630411</v>
      </c>
    </row>
    <row r="568" spans="1:8" ht="40.5" customHeight="1">
      <c r="A568" s="192" t="s">
        <v>194</v>
      </c>
      <c r="B568" s="182" t="s">
        <v>277</v>
      </c>
      <c r="C568" s="182" t="s">
        <v>197</v>
      </c>
      <c r="D568" s="207" t="s">
        <v>745</v>
      </c>
      <c r="E568" s="183" t="s">
        <v>195</v>
      </c>
      <c r="F568" s="184">
        <f>6484500</f>
        <v>6484500</v>
      </c>
      <c r="G568" s="184">
        <v>5366336</v>
      </c>
      <c r="H568" s="184">
        <v>5473911</v>
      </c>
    </row>
    <row r="569" spans="1:8" ht="17.25" customHeight="1">
      <c r="A569" s="192" t="s">
        <v>206</v>
      </c>
      <c r="B569" s="182" t="s">
        <v>277</v>
      </c>
      <c r="C569" s="182" t="s">
        <v>197</v>
      </c>
      <c r="D569" s="207" t="s">
        <v>745</v>
      </c>
      <c r="E569" s="183" t="s">
        <v>207</v>
      </c>
      <c r="F569" s="184">
        <f>1059000-71525.69</f>
        <v>987474.31</v>
      </c>
      <c r="G569" s="184">
        <f>1059000</f>
        <v>1059000</v>
      </c>
      <c r="H569" s="184">
        <f>1059000</f>
        <v>1059000</v>
      </c>
    </row>
    <row r="570" spans="1:8" ht="18" customHeight="1">
      <c r="A570" s="205" t="s">
        <v>274</v>
      </c>
      <c r="B570" s="182" t="s">
        <v>277</v>
      </c>
      <c r="C570" s="182" t="s">
        <v>197</v>
      </c>
      <c r="D570" s="207" t="s">
        <v>745</v>
      </c>
      <c r="E570" s="183" t="s">
        <v>275</v>
      </c>
      <c r="F570" s="184">
        <v>97500</v>
      </c>
      <c r="G570" s="184">
        <v>97500</v>
      </c>
      <c r="H570" s="184">
        <v>97500</v>
      </c>
    </row>
    <row r="571" spans="1:8" ht="15.75" customHeight="1">
      <c r="A571" s="199" t="s">
        <v>747</v>
      </c>
      <c r="B571" s="182" t="s">
        <v>285</v>
      </c>
      <c r="C571" s="182"/>
      <c r="D571" s="182"/>
      <c r="E571" s="183"/>
      <c r="F571" s="184">
        <f aca="true" t="shared" si="66" ref="F571:H573">F572</f>
        <v>3000</v>
      </c>
      <c r="G571" s="184">
        <f t="shared" si="66"/>
        <v>3000</v>
      </c>
      <c r="H571" s="184">
        <f t="shared" si="66"/>
        <v>3000</v>
      </c>
    </row>
    <row r="572" spans="1:8" ht="19.5" customHeight="1">
      <c r="A572" s="199" t="s">
        <v>748</v>
      </c>
      <c r="B572" s="182" t="s">
        <v>285</v>
      </c>
      <c r="C572" s="182" t="s">
        <v>185</v>
      </c>
      <c r="D572" s="182"/>
      <c r="E572" s="183"/>
      <c r="F572" s="184">
        <f t="shared" si="66"/>
        <v>3000</v>
      </c>
      <c r="G572" s="184">
        <f t="shared" si="66"/>
        <v>3000</v>
      </c>
      <c r="H572" s="184">
        <f t="shared" si="66"/>
        <v>3000</v>
      </c>
    </row>
    <row r="573" spans="1:8" ht="30.75" customHeight="1">
      <c r="A573" s="197" t="s">
        <v>749</v>
      </c>
      <c r="B573" s="182" t="s">
        <v>285</v>
      </c>
      <c r="C573" s="182" t="s">
        <v>185</v>
      </c>
      <c r="D573" s="204" t="s">
        <v>750</v>
      </c>
      <c r="E573" s="183"/>
      <c r="F573" s="184">
        <f t="shared" si="66"/>
        <v>3000</v>
      </c>
      <c r="G573" s="184">
        <f t="shared" si="66"/>
        <v>3000</v>
      </c>
      <c r="H573" s="184">
        <f t="shared" si="66"/>
        <v>3000</v>
      </c>
    </row>
    <row r="574" spans="1:8" ht="55.5" customHeight="1">
      <c r="A574" s="197" t="s">
        <v>751</v>
      </c>
      <c r="B574" s="231" t="s">
        <v>285</v>
      </c>
      <c r="C574" s="231" t="s">
        <v>185</v>
      </c>
      <c r="D574" s="204" t="s">
        <v>752</v>
      </c>
      <c r="E574" s="225"/>
      <c r="F574" s="234">
        <f>F576</f>
        <v>3000</v>
      </c>
      <c r="G574" s="234">
        <f>G576</f>
        <v>3000</v>
      </c>
      <c r="H574" s="234">
        <f>H576</f>
        <v>3000</v>
      </c>
    </row>
    <row r="575" spans="1:8" ht="44.25" customHeight="1">
      <c r="A575" s="197" t="s">
        <v>753</v>
      </c>
      <c r="B575" s="182" t="s">
        <v>285</v>
      </c>
      <c r="C575" s="182" t="s">
        <v>185</v>
      </c>
      <c r="D575" s="204" t="s">
        <v>754</v>
      </c>
      <c r="E575" s="225"/>
      <c r="F575" s="234">
        <f aca="true" t="shared" si="67" ref="F575:H576">F576</f>
        <v>3000</v>
      </c>
      <c r="G575" s="234">
        <f t="shared" si="67"/>
        <v>3000</v>
      </c>
      <c r="H575" s="234">
        <f t="shared" si="67"/>
        <v>3000</v>
      </c>
    </row>
    <row r="576" spans="1:8" ht="19.5" customHeight="1">
      <c r="A576" s="199" t="s">
        <v>755</v>
      </c>
      <c r="B576" s="182" t="s">
        <v>285</v>
      </c>
      <c r="C576" s="182" t="s">
        <v>185</v>
      </c>
      <c r="D576" s="204" t="s">
        <v>756</v>
      </c>
      <c r="E576" s="183"/>
      <c r="F576" s="184">
        <f t="shared" si="67"/>
        <v>3000</v>
      </c>
      <c r="G576" s="184">
        <f t="shared" si="67"/>
        <v>3000</v>
      </c>
      <c r="H576" s="184">
        <f t="shared" si="67"/>
        <v>3000</v>
      </c>
    </row>
    <row r="577" spans="1:8" ht="18" customHeight="1">
      <c r="A577" s="197" t="s">
        <v>757</v>
      </c>
      <c r="B577" s="182" t="s">
        <v>285</v>
      </c>
      <c r="C577" s="182" t="s">
        <v>185</v>
      </c>
      <c r="D577" s="204" t="s">
        <v>756</v>
      </c>
      <c r="E577" s="183" t="s">
        <v>758</v>
      </c>
      <c r="F577" s="184">
        <v>3000</v>
      </c>
      <c r="G577" s="184">
        <v>3000</v>
      </c>
      <c r="H577" s="184">
        <v>3000</v>
      </c>
    </row>
    <row r="578" spans="1:8" ht="30.75" customHeight="1">
      <c r="A578" s="199" t="s">
        <v>759</v>
      </c>
      <c r="B578" s="182" t="s">
        <v>760</v>
      </c>
      <c r="C578" s="182"/>
      <c r="D578" s="182"/>
      <c r="E578" s="183"/>
      <c r="F578" s="184">
        <f>F579+F585</f>
        <v>12561264</v>
      </c>
      <c r="G578" s="184">
        <f aca="true" t="shared" si="68" ref="G578:H583">G579</f>
        <v>10802687</v>
      </c>
      <c r="H578" s="184">
        <f t="shared" si="68"/>
        <v>10049011</v>
      </c>
    </row>
    <row r="579" spans="1:8" ht="28.5" customHeight="1">
      <c r="A579" s="199" t="s">
        <v>761</v>
      </c>
      <c r="B579" s="182" t="s">
        <v>760</v>
      </c>
      <c r="C579" s="182" t="s">
        <v>185</v>
      </c>
      <c r="D579" s="182"/>
      <c r="E579" s="183"/>
      <c r="F579" s="184">
        <f>F580</f>
        <v>12561264</v>
      </c>
      <c r="G579" s="184">
        <f t="shared" si="68"/>
        <v>10802687</v>
      </c>
      <c r="H579" s="184">
        <f t="shared" si="68"/>
        <v>10049011</v>
      </c>
    </row>
    <row r="580" spans="1:8" ht="32.25" customHeight="1">
      <c r="A580" s="197" t="s">
        <v>762</v>
      </c>
      <c r="B580" s="182" t="s">
        <v>760</v>
      </c>
      <c r="C580" s="182" t="s">
        <v>185</v>
      </c>
      <c r="D580" s="182" t="s">
        <v>750</v>
      </c>
      <c r="E580" s="183"/>
      <c r="F580" s="184">
        <f>F581</f>
        <v>12561264</v>
      </c>
      <c r="G580" s="184">
        <f t="shared" si="68"/>
        <v>10802687</v>
      </c>
      <c r="H580" s="184">
        <f t="shared" si="68"/>
        <v>10049011</v>
      </c>
    </row>
    <row r="581" spans="1:8" ht="53.25" customHeight="1">
      <c r="A581" s="197" t="s">
        <v>763</v>
      </c>
      <c r="B581" s="182" t="s">
        <v>760</v>
      </c>
      <c r="C581" s="182" t="s">
        <v>185</v>
      </c>
      <c r="D581" s="182" t="s">
        <v>764</v>
      </c>
      <c r="E581" s="183"/>
      <c r="F581" s="184">
        <f>F582</f>
        <v>12561264</v>
      </c>
      <c r="G581" s="184">
        <f t="shared" si="68"/>
        <v>10802687</v>
      </c>
      <c r="H581" s="184">
        <f t="shared" si="68"/>
        <v>10049011</v>
      </c>
    </row>
    <row r="582" spans="1:8" ht="30.75" customHeight="1">
      <c r="A582" s="197" t="s">
        <v>765</v>
      </c>
      <c r="B582" s="182" t="s">
        <v>760</v>
      </c>
      <c r="C582" s="182" t="s">
        <v>185</v>
      </c>
      <c r="D582" s="182" t="s">
        <v>766</v>
      </c>
      <c r="E582" s="183"/>
      <c r="F582" s="184">
        <f>F583</f>
        <v>12561264</v>
      </c>
      <c r="G582" s="184">
        <f t="shared" si="68"/>
        <v>10802687</v>
      </c>
      <c r="H582" s="184">
        <f t="shared" si="68"/>
        <v>10049011</v>
      </c>
    </row>
    <row r="583" spans="1:8" ht="19.5" customHeight="1">
      <c r="A583" s="197" t="s">
        <v>767</v>
      </c>
      <c r="B583" s="182" t="s">
        <v>760</v>
      </c>
      <c r="C583" s="182" t="s">
        <v>185</v>
      </c>
      <c r="D583" s="182" t="s">
        <v>768</v>
      </c>
      <c r="E583" s="183"/>
      <c r="F583" s="184">
        <f>F584</f>
        <v>12561264</v>
      </c>
      <c r="G583" s="184">
        <f t="shared" si="68"/>
        <v>10802687</v>
      </c>
      <c r="H583" s="184">
        <f t="shared" si="68"/>
        <v>10049011</v>
      </c>
    </row>
    <row r="584" spans="1:8" ht="18.75" customHeight="1">
      <c r="A584" s="220" t="s">
        <v>507</v>
      </c>
      <c r="B584" s="182" t="s">
        <v>760</v>
      </c>
      <c r="C584" s="182" t="s">
        <v>185</v>
      </c>
      <c r="D584" s="182" t="s">
        <v>768</v>
      </c>
      <c r="E584" s="193" t="s">
        <v>508</v>
      </c>
      <c r="F584" s="184">
        <v>12561264</v>
      </c>
      <c r="G584" s="184">
        <v>10802687</v>
      </c>
      <c r="H584" s="184">
        <v>10049011</v>
      </c>
    </row>
    <row r="585" spans="1:8" ht="19.5" customHeight="1" hidden="1">
      <c r="A585" s="187" t="s">
        <v>769</v>
      </c>
      <c r="B585" s="182" t="s">
        <v>760</v>
      </c>
      <c r="C585" s="182" t="s">
        <v>197</v>
      </c>
      <c r="D585" s="182"/>
      <c r="E585" s="183"/>
      <c r="F585" s="184">
        <f>F586</f>
        <v>0</v>
      </c>
      <c r="G585" s="184"/>
      <c r="H585" s="184"/>
    </row>
    <row r="586" spans="1:8" ht="19.5" customHeight="1" hidden="1">
      <c r="A586" s="191" t="s">
        <v>282</v>
      </c>
      <c r="B586" s="182" t="s">
        <v>760</v>
      </c>
      <c r="C586" s="182" t="s">
        <v>197</v>
      </c>
      <c r="D586" s="182" t="s">
        <v>770</v>
      </c>
      <c r="E586" s="183"/>
      <c r="F586" s="184">
        <f>F587</f>
        <v>0</v>
      </c>
      <c r="G586" s="184"/>
      <c r="H586" s="184"/>
    </row>
    <row r="587" spans="1:8" ht="19.5" customHeight="1" hidden="1">
      <c r="A587" s="220" t="s">
        <v>507</v>
      </c>
      <c r="B587" s="182" t="s">
        <v>760</v>
      </c>
      <c r="C587" s="182" t="s">
        <v>197</v>
      </c>
      <c r="D587" s="182" t="s">
        <v>770</v>
      </c>
      <c r="E587" s="183" t="s">
        <v>508</v>
      </c>
      <c r="F587" s="235"/>
      <c r="G587" s="184"/>
      <c r="H587" s="184"/>
    </row>
    <row r="588" spans="1:8" ht="38.25" hidden="1">
      <c r="A588" s="221" t="s">
        <v>771</v>
      </c>
      <c r="B588" s="182" t="s">
        <v>269</v>
      </c>
      <c r="C588" s="182" t="s">
        <v>185</v>
      </c>
      <c r="D588" s="207" t="s">
        <v>310</v>
      </c>
      <c r="E588" s="183"/>
      <c r="F588" s="184">
        <f aca="true" t="shared" si="69" ref="F588:H591">F589</f>
        <v>0</v>
      </c>
      <c r="G588" s="184">
        <f t="shared" si="69"/>
        <v>0</v>
      </c>
      <c r="H588" s="184">
        <f t="shared" si="69"/>
        <v>0</v>
      </c>
    </row>
    <row r="589" spans="1:8" ht="51" hidden="1">
      <c r="A589" s="220" t="s">
        <v>772</v>
      </c>
      <c r="B589" s="182" t="s">
        <v>269</v>
      </c>
      <c r="C589" s="182" t="s">
        <v>185</v>
      </c>
      <c r="D589" s="207" t="s">
        <v>773</v>
      </c>
      <c r="E589" s="183"/>
      <c r="F589" s="184">
        <f t="shared" si="69"/>
        <v>0</v>
      </c>
      <c r="G589" s="184">
        <f t="shared" si="69"/>
        <v>0</v>
      </c>
      <c r="H589" s="184">
        <f t="shared" si="69"/>
        <v>0</v>
      </c>
    </row>
    <row r="590" spans="1:8" ht="15" hidden="1">
      <c r="A590" s="199" t="s">
        <v>313</v>
      </c>
      <c r="B590" s="182" t="s">
        <v>269</v>
      </c>
      <c r="C590" s="182" t="s">
        <v>185</v>
      </c>
      <c r="D590" s="204" t="s">
        <v>314</v>
      </c>
      <c r="E590" s="183"/>
      <c r="F590" s="184">
        <f t="shared" si="69"/>
        <v>0</v>
      </c>
      <c r="G590" s="184">
        <f t="shared" si="69"/>
        <v>0</v>
      </c>
      <c r="H590" s="184">
        <f t="shared" si="69"/>
        <v>0</v>
      </c>
    </row>
    <row r="591" spans="1:8" ht="15" hidden="1">
      <c r="A591" s="200" t="s">
        <v>315</v>
      </c>
      <c r="B591" s="182" t="s">
        <v>269</v>
      </c>
      <c r="C591" s="182" t="s">
        <v>185</v>
      </c>
      <c r="D591" s="204" t="s">
        <v>316</v>
      </c>
      <c r="E591" s="183"/>
      <c r="F591" s="184">
        <f t="shared" si="69"/>
        <v>0</v>
      </c>
      <c r="G591" s="184">
        <f t="shared" si="69"/>
        <v>0</v>
      </c>
      <c r="H591" s="184">
        <f t="shared" si="69"/>
        <v>0</v>
      </c>
    </row>
    <row r="592" spans="1:8" ht="25.5" hidden="1">
      <c r="A592" s="192" t="s">
        <v>206</v>
      </c>
      <c r="B592" s="182" t="s">
        <v>269</v>
      </c>
      <c r="C592" s="182" t="s">
        <v>185</v>
      </c>
      <c r="D592" s="204" t="s">
        <v>316</v>
      </c>
      <c r="E592" s="183" t="s">
        <v>207</v>
      </c>
      <c r="F592" s="184"/>
      <c r="G592" s="184"/>
      <c r="H592" s="184"/>
    </row>
    <row r="593" spans="1:8" ht="38.25" hidden="1">
      <c r="A593" s="236" t="s">
        <v>774</v>
      </c>
      <c r="B593" s="182" t="s">
        <v>269</v>
      </c>
      <c r="C593" s="182" t="s">
        <v>187</v>
      </c>
      <c r="D593" s="182" t="s">
        <v>775</v>
      </c>
      <c r="E593" s="183"/>
      <c r="F593" s="184">
        <f aca="true" t="shared" si="70" ref="F593:H596">F594</f>
        <v>0</v>
      </c>
      <c r="G593" s="184">
        <f t="shared" si="70"/>
        <v>0</v>
      </c>
      <c r="H593" s="184">
        <f t="shared" si="70"/>
        <v>0</v>
      </c>
    </row>
    <row r="594" spans="1:8" ht="63.75" hidden="1">
      <c r="A594" s="192" t="s">
        <v>776</v>
      </c>
      <c r="B594" s="182" t="s">
        <v>269</v>
      </c>
      <c r="C594" s="182" t="s">
        <v>187</v>
      </c>
      <c r="D594" s="182" t="s">
        <v>777</v>
      </c>
      <c r="E594" s="183"/>
      <c r="F594" s="184">
        <f t="shared" si="70"/>
        <v>0</v>
      </c>
      <c r="G594" s="184">
        <f t="shared" si="70"/>
        <v>0</v>
      </c>
      <c r="H594" s="184">
        <f t="shared" si="70"/>
        <v>0</v>
      </c>
    </row>
    <row r="595" spans="1:8" ht="25.5" hidden="1">
      <c r="A595" s="192" t="s">
        <v>778</v>
      </c>
      <c r="B595" s="182" t="s">
        <v>269</v>
      </c>
      <c r="C595" s="182" t="s">
        <v>187</v>
      </c>
      <c r="D595" s="182" t="s">
        <v>779</v>
      </c>
      <c r="E595" s="183"/>
      <c r="F595" s="184">
        <f t="shared" si="70"/>
        <v>0</v>
      </c>
      <c r="G595" s="184">
        <f t="shared" si="70"/>
        <v>0</v>
      </c>
      <c r="H595" s="184">
        <f t="shared" si="70"/>
        <v>0</v>
      </c>
    </row>
    <row r="596" spans="1:8" ht="25.5" hidden="1">
      <c r="A596" s="199" t="s">
        <v>333</v>
      </c>
      <c r="B596" s="182" t="s">
        <v>269</v>
      </c>
      <c r="C596" s="182" t="s">
        <v>187</v>
      </c>
      <c r="D596" s="182" t="s">
        <v>780</v>
      </c>
      <c r="E596" s="183"/>
      <c r="F596" s="184">
        <f t="shared" si="70"/>
        <v>0</v>
      </c>
      <c r="G596" s="184">
        <f t="shared" si="70"/>
        <v>0</v>
      </c>
      <c r="H596" s="184">
        <f t="shared" si="70"/>
        <v>0</v>
      </c>
    </row>
    <row r="597" spans="1:8" ht="25.5" hidden="1">
      <c r="A597" s="192" t="s">
        <v>206</v>
      </c>
      <c r="B597" s="182" t="s">
        <v>269</v>
      </c>
      <c r="C597" s="182" t="s">
        <v>187</v>
      </c>
      <c r="D597" s="182" t="s">
        <v>780</v>
      </c>
      <c r="E597" s="183" t="s">
        <v>207</v>
      </c>
      <c r="F597" s="184"/>
      <c r="G597" s="184"/>
      <c r="H597" s="184"/>
    </row>
    <row r="598" spans="1:8" ht="0.75" customHeight="1" hidden="1">
      <c r="A598" s="199" t="s">
        <v>781</v>
      </c>
      <c r="B598" s="182" t="s">
        <v>269</v>
      </c>
      <c r="C598" s="182" t="s">
        <v>197</v>
      </c>
      <c r="D598" s="182" t="s">
        <v>782</v>
      </c>
      <c r="E598" s="183"/>
      <c r="F598" s="184">
        <f>F599</f>
        <v>0</v>
      </c>
      <c r="G598" s="184">
        <f>G599</f>
        <v>0</v>
      </c>
      <c r="H598" s="184">
        <f>H599</f>
        <v>0</v>
      </c>
    </row>
    <row r="599" spans="1:8" ht="18.75" customHeight="1" hidden="1">
      <c r="A599" s="199" t="s">
        <v>366</v>
      </c>
      <c r="B599" s="182" t="s">
        <v>269</v>
      </c>
      <c r="C599" s="182" t="s">
        <v>197</v>
      </c>
      <c r="D599" s="182" t="s">
        <v>783</v>
      </c>
      <c r="E599" s="183"/>
      <c r="F599" s="184">
        <f>F600+F601</f>
        <v>0</v>
      </c>
      <c r="G599" s="184">
        <f>G600+G601</f>
        <v>0</v>
      </c>
      <c r="H599" s="184">
        <f>H600+H601</f>
        <v>0</v>
      </c>
    </row>
    <row r="600" spans="1:8" ht="25.5" customHeight="1" hidden="1">
      <c r="A600" s="199" t="s">
        <v>614</v>
      </c>
      <c r="B600" s="182" t="s">
        <v>269</v>
      </c>
      <c r="C600" s="182" t="s">
        <v>197</v>
      </c>
      <c r="D600" s="182" t="s">
        <v>783</v>
      </c>
      <c r="E600" s="183" t="s">
        <v>615</v>
      </c>
      <c r="F600" s="184"/>
      <c r="G600" s="184"/>
      <c r="H600" s="184"/>
    </row>
    <row r="601" spans="1:8" ht="18" customHeight="1" hidden="1">
      <c r="A601" s="192" t="s">
        <v>274</v>
      </c>
      <c r="B601" s="182" t="s">
        <v>269</v>
      </c>
      <c r="C601" s="182" t="s">
        <v>197</v>
      </c>
      <c r="D601" s="182" t="s">
        <v>783</v>
      </c>
      <c r="E601" s="183" t="s">
        <v>275</v>
      </c>
      <c r="F601" s="184"/>
      <c r="G601" s="184"/>
      <c r="H601" s="184"/>
    </row>
    <row r="602" spans="1:8" ht="31.5" customHeight="1" hidden="1">
      <c r="A602" s="199" t="s">
        <v>559</v>
      </c>
      <c r="B602" s="182" t="s">
        <v>378</v>
      </c>
      <c r="C602" s="182" t="s">
        <v>210</v>
      </c>
      <c r="D602" s="182" t="s">
        <v>560</v>
      </c>
      <c r="E602" s="183"/>
      <c r="F602" s="184">
        <f aca="true" t="shared" si="71" ref="F602:H603">F603</f>
        <v>0</v>
      </c>
      <c r="G602" s="184">
        <f t="shared" si="71"/>
        <v>0</v>
      </c>
      <c r="H602" s="184">
        <f t="shared" si="71"/>
        <v>0</v>
      </c>
    </row>
    <row r="603" spans="1:8" ht="66" customHeight="1" hidden="1">
      <c r="A603" s="196" t="s">
        <v>571</v>
      </c>
      <c r="B603" s="182">
        <v>10</v>
      </c>
      <c r="C603" s="182" t="s">
        <v>210</v>
      </c>
      <c r="D603" s="229" t="s">
        <v>572</v>
      </c>
      <c r="E603" s="183"/>
      <c r="F603" s="184">
        <f t="shared" si="71"/>
        <v>0</v>
      </c>
      <c r="G603" s="184">
        <f t="shared" si="71"/>
        <v>0</v>
      </c>
      <c r="H603" s="184">
        <f t="shared" si="71"/>
        <v>0</v>
      </c>
    </row>
    <row r="604" spans="1:8" ht="39" customHeight="1" hidden="1">
      <c r="A604" s="192" t="s">
        <v>194</v>
      </c>
      <c r="B604" s="182">
        <v>10</v>
      </c>
      <c r="C604" s="182" t="s">
        <v>210</v>
      </c>
      <c r="D604" s="229" t="s">
        <v>572</v>
      </c>
      <c r="E604" s="183" t="s">
        <v>195</v>
      </c>
      <c r="F604" s="184"/>
      <c r="G604" s="184"/>
      <c r="H604" s="184"/>
    </row>
    <row r="605" ht="15">
      <c r="A605" s="164"/>
    </row>
    <row r="606" ht="15">
      <c r="A606" s="164"/>
    </row>
    <row r="607" ht="15">
      <c r="A607" s="164"/>
    </row>
    <row r="608" ht="15">
      <c r="A608" s="164"/>
    </row>
    <row r="609" ht="15">
      <c r="A609" s="164"/>
    </row>
    <row r="610" ht="15">
      <c r="A610" s="164"/>
    </row>
  </sheetData>
  <sheetProtection/>
  <mergeCells count="3">
    <mergeCell ref="E2:H2"/>
    <mergeCell ref="E3:F3"/>
    <mergeCell ref="A5:H5"/>
  </mergeCells>
  <hyperlinks>
    <hyperlink ref="A266" r:id="rId1" display="consultantplus://offline/ref=C6EF3AE28B6C46D1117CBBA251A07B11C6C7C5768D606C8B0E322DA1BBA42282C9440EEF08E6CC43400230U6VF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41"/>
  <sheetViews>
    <sheetView zoomScalePageLayoutView="0" workbookViewId="0" topLeftCell="A10">
      <selection activeCell="Q9" sqref="Q9:S10"/>
    </sheetView>
  </sheetViews>
  <sheetFormatPr defaultColWidth="9.00390625" defaultRowHeight="12.75"/>
  <cols>
    <col min="1" max="1" width="73.375" style="69" customWidth="1"/>
    <col min="2" max="2" width="5.125" style="166" customWidth="1"/>
    <col min="3" max="3" width="5.25390625" style="166" customWidth="1"/>
    <col min="4" max="4" width="5.00390625" style="166" customWidth="1"/>
    <col min="5" max="5" width="17.125" style="166" customWidth="1"/>
    <col min="6" max="6" width="4.375" style="237" customWidth="1"/>
    <col min="7" max="7" width="17.00390625" style="238" hidden="1" customWidth="1"/>
    <col min="8" max="8" width="12.875" style="244" hidden="1" customWidth="1"/>
    <col min="9" max="9" width="16.625" style="238" customWidth="1"/>
    <col min="10" max="10" width="17.00390625" style="238" hidden="1" customWidth="1"/>
    <col min="11" max="11" width="12.875" style="244" hidden="1" customWidth="1"/>
    <col min="12" max="12" width="18.25390625" style="238" customWidth="1"/>
    <col min="13" max="13" width="17.00390625" style="238" hidden="1" customWidth="1"/>
    <col min="14" max="14" width="12.875" style="244" hidden="1" customWidth="1"/>
    <col min="15" max="15" width="18.625" style="238" bestFit="1" customWidth="1"/>
    <col min="16" max="16" width="11.375" style="68" customWidth="1"/>
    <col min="17" max="17" width="20.25390625" style="68" customWidth="1"/>
    <col min="18" max="18" width="17.75390625" style="68" customWidth="1"/>
    <col min="19" max="19" width="18.625" style="68" customWidth="1"/>
    <col min="20" max="20" width="19.625" style="68" customWidth="1"/>
    <col min="21" max="16384" width="9.125" style="68" customWidth="1"/>
  </cols>
  <sheetData>
    <row r="1" spans="2:14" ht="15">
      <c r="B1" s="160"/>
      <c r="D1" s="160"/>
      <c r="E1" s="160"/>
      <c r="F1" s="239"/>
      <c r="H1" s="240"/>
      <c r="I1" s="160" t="s">
        <v>784</v>
      </c>
      <c r="K1" s="240"/>
      <c r="N1" s="240"/>
    </row>
    <row r="2" spans="2:15" ht="66" customHeight="1">
      <c r="B2" s="163"/>
      <c r="C2" s="163"/>
      <c r="D2" s="163"/>
      <c r="E2" s="163"/>
      <c r="F2" s="163"/>
      <c r="G2" s="163"/>
      <c r="H2" s="163"/>
      <c r="I2" s="295" t="s">
        <v>785</v>
      </c>
      <c r="J2" s="295"/>
      <c r="K2" s="295"/>
      <c r="L2" s="295"/>
      <c r="M2" s="295"/>
      <c r="N2" s="295"/>
      <c r="O2" s="295"/>
    </row>
    <row r="3" spans="1:15" ht="45.75" customHeight="1" hidden="1">
      <c r="A3" s="241"/>
      <c r="B3" s="164"/>
      <c r="C3" s="164"/>
      <c r="D3" s="164"/>
      <c r="E3" s="164"/>
      <c r="F3" s="164"/>
      <c r="G3" s="164"/>
      <c r="H3" s="164"/>
      <c r="I3" s="296" t="s">
        <v>786</v>
      </c>
      <c r="J3" s="296"/>
      <c r="K3" s="296"/>
      <c r="L3" s="296"/>
      <c r="M3" s="296"/>
      <c r="N3" s="296"/>
      <c r="O3" s="296"/>
    </row>
    <row r="4" spans="1:19" ht="48.75" customHeight="1">
      <c r="A4" s="298" t="s">
        <v>787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Q4" s="194"/>
      <c r="R4" s="174"/>
      <c r="S4" s="174"/>
    </row>
    <row r="5" spans="1:20" ht="9.75" customHeight="1">
      <c r="A5" s="242"/>
      <c r="B5" s="242"/>
      <c r="C5" s="242"/>
      <c r="D5" s="242"/>
      <c r="E5" s="242"/>
      <c r="F5" s="242"/>
      <c r="G5" s="242"/>
      <c r="H5" s="242"/>
      <c r="I5" s="243"/>
      <c r="J5" s="194"/>
      <c r="K5" s="194"/>
      <c r="L5" s="194"/>
      <c r="M5" s="194"/>
      <c r="N5" s="68"/>
      <c r="O5" s="194"/>
      <c r="Q5" s="194"/>
      <c r="R5" s="194"/>
      <c r="S5" s="194"/>
      <c r="T5" s="194"/>
    </row>
    <row r="6" spans="6:15" ht="18.75" customHeight="1">
      <c r="F6" s="167"/>
      <c r="G6" s="168"/>
      <c r="I6" s="245"/>
      <c r="J6" s="168"/>
      <c r="L6" s="245"/>
      <c r="M6" s="168"/>
      <c r="O6" s="245" t="s">
        <v>788</v>
      </c>
    </row>
    <row r="7" spans="1:20" ht="40.5" customHeight="1">
      <c r="A7" s="169" t="s">
        <v>170</v>
      </c>
      <c r="B7" s="170" t="s">
        <v>789</v>
      </c>
      <c r="C7" s="170" t="s">
        <v>171</v>
      </c>
      <c r="D7" s="170" t="s">
        <v>172</v>
      </c>
      <c r="E7" s="171" t="s">
        <v>173</v>
      </c>
      <c r="F7" s="171" t="s">
        <v>174</v>
      </c>
      <c r="G7" s="246" t="s">
        <v>790</v>
      </c>
      <c r="H7" s="172" t="s">
        <v>791</v>
      </c>
      <c r="I7" s="172" t="s">
        <v>175</v>
      </c>
      <c r="J7" s="246" t="s">
        <v>792</v>
      </c>
      <c r="K7" s="172" t="s">
        <v>791</v>
      </c>
      <c r="L7" s="172" t="s">
        <v>176</v>
      </c>
      <c r="M7" s="246" t="s">
        <v>793</v>
      </c>
      <c r="N7" s="172" t="s">
        <v>791</v>
      </c>
      <c r="O7" s="172" t="s">
        <v>177</v>
      </c>
      <c r="Q7" s="194"/>
      <c r="R7" s="194"/>
      <c r="S7" s="194"/>
      <c r="T7" s="175"/>
    </row>
    <row r="8" spans="1:15" s="250" customFormat="1" ht="12.75" customHeight="1">
      <c r="A8" s="247">
        <v>1</v>
      </c>
      <c r="B8" s="170">
        <v>2</v>
      </c>
      <c r="C8" s="170" t="s">
        <v>179</v>
      </c>
      <c r="D8" s="170" t="s">
        <v>180</v>
      </c>
      <c r="E8" s="171" t="s">
        <v>181</v>
      </c>
      <c r="F8" s="171" t="s">
        <v>794</v>
      </c>
      <c r="G8" s="246"/>
      <c r="H8" s="172"/>
      <c r="I8" s="248" t="s">
        <v>795</v>
      </c>
      <c r="J8" s="246"/>
      <c r="K8" s="172"/>
      <c r="L8" s="249">
        <v>8</v>
      </c>
      <c r="M8" s="246"/>
      <c r="N8" s="172"/>
      <c r="O8" s="249">
        <v>9</v>
      </c>
    </row>
    <row r="9" spans="1:20" s="185" customFormat="1" ht="20.25">
      <c r="A9" s="181" t="s">
        <v>182</v>
      </c>
      <c r="B9" s="182"/>
      <c r="C9" s="182"/>
      <c r="D9" s="182"/>
      <c r="E9" s="182"/>
      <c r="F9" s="183"/>
      <c r="G9" s="184">
        <f>G11+G440+G10</f>
        <v>775487849</v>
      </c>
      <c r="H9" s="184">
        <f>H11+H440+H10</f>
        <v>9891000</v>
      </c>
      <c r="I9" s="184">
        <f>G9+H9</f>
        <v>785378849</v>
      </c>
      <c r="J9" s="184">
        <f>J11+J440+J10</f>
        <v>807924799</v>
      </c>
      <c r="K9" s="184">
        <f>K11+K440+K10</f>
        <v>9891000</v>
      </c>
      <c r="L9" s="184">
        <f>J9+K9</f>
        <v>817815799</v>
      </c>
      <c r="M9" s="184">
        <f>M11+M440+M10</f>
        <v>840501330</v>
      </c>
      <c r="N9" s="184">
        <f>N11+N440+N10</f>
        <v>9891000</v>
      </c>
      <c r="O9" s="184">
        <f>M9+N9</f>
        <v>850392330</v>
      </c>
      <c r="Q9" s="186"/>
      <c r="R9" s="186"/>
      <c r="S9" s="186"/>
      <c r="T9" s="174"/>
    </row>
    <row r="10" spans="1:19" s="185" customFormat="1" ht="20.25">
      <c r="A10" s="181" t="s">
        <v>183</v>
      </c>
      <c r="B10" s="182"/>
      <c r="C10" s="182"/>
      <c r="D10" s="182"/>
      <c r="E10" s="182"/>
      <c r="F10" s="183"/>
      <c r="G10" s="184"/>
      <c r="H10" s="184"/>
      <c r="I10" s="184">
        <f>G10+H10</f>
        <v>0</v>
      </c>
      <c r="J10" s="184">
        <v>5500000</v>
      </c>
      <c r="K10" s="184"/>
      <c r="L10" s="184">
        <f>J10+K10</f>
        <v>5500000</v>
      </c>
      <c r="M10" s="184">
        <v>10900000</v>
      </c>
      <c r="N10" s="184"/>
      <c r="O10" s="184">
        <f>M10+N10</f>
        <v>10900000</v>
      </c>
      <c r="Q10" s="174"/>
      <c r="R10" s="174"/>
      <c r="S10" s="174"/>
    </row>
    <row r="11" spans="1:20" ht="21" customHeight="1">
      <c r="A11" s="197" t="s">
        <v>796</v>
      </c>
      <c r="B11" s="182" t="s">
        <v>797</v>
      </c>
      <c r="C11" s="182"/>
      <c r="D11" s="182"/>
      <c r="E11" s="182"/>
      <c r="F11" s="183"/>
      <c r="G11" s="184">
        <f>G12+G172+G189+G260+G301+G362+G370+G430+G294+G416+G423+G316</f>
        <v>207139291</v>
      </c>
      <c r="H11" s="184">
        <f>H12+H172+H189+H260+H301+H362+H370+H430+H294+H416+H423+H316</f>
        <v>548800</v>
      </c>
      <c r="I11" s="184">
        <f aca="true" t="shared" si="0" ref="I11:I74">G11+H11</f>
        <v>207688091</v>
      </c>
      <c r="J11" s="184">
        <f>J12+J172+J189+J260+J301+J362+J370+J430+J294+J416+J423+J316</f>
        <v>153219628</v>
      </c>
      <c r="K11" s="184">
        <f>K12+K172+K189+K260+K301+K362+K370+K430+K294+K416+K423+K316</f>
        <v>548800</v>
      </c>
      <c r="L11" s="184">
        <f>J11+K11</f>
        <v>153768428</v>
      </c>
      <c r="M11" s="184">
        <f>M12+M172+M189+M260+M301+M362+M370+M430+M294+M416+M423+M316</f>
        <v>150348846</v>
      </c>
      <c r="N11" s="184">
        <f>N12+N172+N189+N260+N301+N362+N370+N430+N294+N416+N423+N316</f>
        <v>548800</v>
      </c>
      <c r="O11" s="184">
        <f>M11+N11</f>
        <v>150897646</v>
      </c>
      <c r="T11" s="194"/>
    </row>
    <row r="12" spans="1:17" ht="15">
      <c r="A12" s="187" t="s">
        <v>184</v>
      </c>
      <c r="B12" s="182" t="s">
        <v>797</v>
      </c>
      <c r="C12" s="182" t="s">
        <v>185</v>
      </c>
      <c r="D12" s="182"/>
      <c r="E12" s="182"/>
      <c r="F12" s="183"/>
      <c r="G12" s="184">
        <f>G13+G18+G27+G79+G84+G69+G64+G74</f>
        <v>52984682</v>
      </c>
      <c r="H12" s="251"/>
      <c r="I12" s="184">
        <f t="shared" si="0"/>
        <v>52984682</v>
      </c>
      <c r="J12" s="184">
        <f>J13+J18+J27+J79+J84+J69+J64+J74</f>
        <v>39019802</v>
      </c>
      <c r="K12" s="251"/>
      <c r="L12" s="184">
        <f>J12+K12</f>
        <v>39019802</v>
      </c>
      <c r="M12" s="184">
        <f>M13+M18+M27+M79+M84+M69+M64+M74</f>
        <v>42472458</v>
      </c>
      <c r="N12" s="251"/>
      <c r="O12" s="184">
        <f>M12+N12</f>
        <v>42472458</v>
      </c>
      <c r="Q12" s="252"/>
    </row>
    <row r="13" spans="1:15" ht="28.5" customHeight="1">
      <c r="A13" s="188" t="s">
        <v>186</v>
      </c>
      <c r="B13" s="182" t="s">
        <v>797</v>
      </c>
      <c r="C13" s="182" t="s">
        <v>185</v>
      </c>
      <c r="D13" s="182" t="s">
        <v>187</v>
      </c>
      <c r="E13" s="182"/>
      <c r="F13" s="183"/>
      <c r="G13" s="184">
        <f>G15</f>
        <v>1281500</v>
      </c>
      <c r="H13" s="251"/>
      <c r="I13" s="184">
        <f t="shared" si="0"/>
        <v>1281500</v>
      </c>
      <c r="J13" s="184">
        <f>J15</f>
        <v>1060523</v>
      </c>
      <c r="K13" s="251"/>
      <c r="L13" s="184">
        <f>J13+K13</f>
        <v>1060523</v>
      </c>
      <c r="M13" s="184">
        <f>M15</f>
        <v>1081782</v>
      </c>
      <c r="N13" s="251"/>
      <c r="O13" s="184">
        <f>M13+N13</f>
        <v>1081782</v>
      </c>
    </row>
    <row r="14" spans="1:15" ht="15" customHeight="1">
      <c r="A14" s="189" t="s">
        <v>188</v>
      </c>
      <c r="B14" s="182" t="s">
        <v>797</v>
      </c>
      <c r="C14" s="182" t="s">
        <v>185</v>
      </c>
      <c r="D14" s="182" t="s">
        <v>187</v>
      </c>
      <c r="E14" s="190" t="s">
        <v>189</v>
      </c>
      <c r="F14" s="183"/>
      <c r="G14" s="184">
        <f>G15</f>
        <v>1281500</v>
      </c>
      <c r="H14" s="251"/>
      <c r="I14" s="184">
        <f t="shared" si="0"/>
        <v>1281500</v>
      </c>
      <c r="J14" s="184">
        <f>J15</f>
        <v>1060523</v>
      </c>
      <c r="K14" s="251"/>
      <c r="L14" s="184">
        <f aca="true" t="shared" si="1" ref="L14:L77">J14+K14</f>
        <v>1060523</v>
      </c>
      <c r="M14" s="184">
        <f>M15</f>
        <v>1081782</v>
      </c>
      <c r="N14" s="251"/>
      <c r="O14" s="184">
        <f aca="true" t="shared" si="2" ref="O14:O77">M14+N14</f>
        <v>1081782</v>
      </c>
    </row>
    <row r="15" spans="1:15" ht="17.25" customHeight="1">
      <c r="A15" s="187" t="s">
        <v>190</v>
      </c>
      <c r="B15" s="182" t="s">
        <v>797</v>
      </c>
      <c r="C15" s="182" t="s">
        <v>185</v>
      </c>
      <c r="D15" s="182" t="s">
        <v>187</v>
      </c>
      <c r="E15" s="190" t="s">
        <v>191</v>
      </c>
      <c r="F15" s="183"/>
      <c r="G15" s="184">
        <f>G17</f>
        <v>1281500</v>
      </c>
      <c r="H15" s="251"/>
      <c r="I15" s="184">
        <f t="shared" si="0"/>
        <v>1281500</v>
      </c>
      <c r="J15" s="184">
        <f>J17</f>
        <v>1060523</v>
      </c>
      <c r="K15" s="251"/>
      <c r="L15" s="184">
        <f t="shared" si="1"/>
        <v>1060523</v>
      </c>
      <c r="M15" s="184">
        <f>M17</f>
        <v>1081782</v>
      </c>
      <c r="N15" s="251"/>
      <c r="O15" s="184">
        <f t="shared" si="2"/>
        <v>1081782</v>
      </c>
    </row>
    <row r="16" spans="1:15" ht="18" customHeight="1">
      <c r="A16" s="191" t="s">
        <v>192</v>
      </c>
      <c r="B16" s="182" t="s">
        <v>797</v>
      </c>
      <c r="C16" s="182" t="s">
        <v>185</v>
      </c>
      <c r="D16" s="182" t="s">
        <v>187</v>
      </c>
      <c r="E16" s="190" t="s">
        <v>193</v>
      </c>
      <c r="F16" s="183"/>
      <c r="G16" s="184">
        <f>G17</f>
        <v>1281500</v>
      </c>
      <c r="H16" s="251"/>
      <c r="I16" s="184">
        <f t="shared" si="0"/>
        <v>1281500</v>
      </c>
      <c r="J16" s="184">
        <f>J17</f>
        <v>1060523</v>
      </c>
      <c r="K16" s="251"/>
      <c r="L16" s="184">
        <f t="shared" si="1"/>
        <v>1060523</v>
      </c>
      <c r="M16" s="184">
        <f>M17</f>
        <v>1081782</v>
      </c>
      <c r="N16" s="251"/>
      <c r="O16" s="184">
        <f t="shared" si="2"/>
        <v>1081782</v>
      </c>
    </row>
    <row r="17" spans="1:16" ht="48" customHeight="1">
      <c r="A17" s="192" t="s">
        <v>194</v>
      </c>
      <c r="B17" s="182" t="s">
        <v>797</v>
      </c>
      <c r="C17" s="182" t="s">
        <v>185</v>
      </c>
      <c r="D17" s="182" t="s">
        <v>187</v>
      </c>
      <c r="E17" s="190" t="s">
        <v>193</v>
      </c>
      <c r="F17" s="193" t="s">
        <v>195</v>
      </c>
      <c r="G17" s="184">
        <v>1281500</v>
      </c>
      <c r="H17" s="251"/>
      <c r="I17" s="184">
        <f t="shared" si="0"/>
        <v>1281500</v>
      </c>
      <c r="J17" s="184">
        <v>1060523</v>
      </c>
      <c r="K17" s="251"/>
      <c r="L17" s="184">
        <f t="shared" si="1"/>
        <v>1060523</v>
      </c>
      <c r="M17" s="184">
        <v>1081782</v>
      </c>
      <c r="N17" s="251"/>
      <c r="O17" s="184">
        <f t="shared" si="2"/>
        <v>1081782</v>
      </c>
      <c r="P17" s="194"/>
    </row>
    <row r="18" spans="1:15" ht="28.5" customHeight="1">
      <c r="A18" s="188" t="s">
        <v>196</v>
      </c>
      <c r="B18" s="182" t="s">
        <v>797</v>
      </c>
      <c r="C18" s="182" t="s">
        <v>185</v>
      </c>
      <c r="D18" s="182" t="s">
        <v>197</v>
      </c>
      <c r="E18" s="182"/>
      <c r="F18" s="183"/>
      <c r="G18" s="184">
        <f>G19</f>
        <v>1390300</v>
      </c>
      <c r="H18" s="251"/>
      <c r="I18" s="184">
        <f t="shared" si="0"/>
        <v>1390300</v>
      </c>
      <c r="J18" s="184">
        <f>J19</f>
        <v>1150561</v>
      </c>
      <c r="K18" s="251"/>
      <c r="L18" s="184">
        <f t="shared" si="1"/>
        <v>1150561</v>
      </c>
      <c r="M18" s="184">
        <f>M19</f>
        <v>1173626</v>
      </c>
      <c r="N18" s="251"/>
      <c r="O18" s="184">
        <f t="shared" si="2"/>
        <v>1173626</v>
      </c>
    </row>
    <row r="19" spans="1:15" ht="30.75" customHeight="1">
      <c r="A19" s="189" t="s">
        <v>198</v>
      </c>
      <c r="B19" s="182" t="s">
        <v>797</v>
      </c>
      <c r="C19" s="182" t="s">
        <v>185</v>
      </c>
      <c r="D19" s="182" t="s">
        <v>197</v>
      </c>
      <c r="E19" s="190" t="s">
        <v>199</v>
      </c>
      <c r="F19" s="183"/>
      <c r="G19" s="184">
        <f>G20+G23</f>
        <v>1390300</v>
      </c>
      <c r="H19" s="251"/>
      <c r="I19" s="184">
        <f t="shared" si="0"/>
        <v>1390300</v>
      </c>
      <c r="J19" s="184">
        <f>J20+J23</f>
        <v>1150561</v>
      </c>
      <c r="K19" s="251"/>
      <c r="L19" s="184">
        <f t="shared" si="1"/>
        <v>1150561</v>
      </c>
      <c r="M19" s="184">
        <f>M20+M23</f>
        <v>1173626</v>
      </c>
      <c r="N19" s="251"/>
      <c r="O19" s="184">
        <f t="shared" si="2"/>
        <v>1173626</v>
      </c>
    </row>
    <row r="20" spans="1:15" ht="18.75" customHeight="1">
      <c r="A20" s="187" t="s">
        <v>200</v>
      </c>
      <c r="B20" s="182" t="s">
        <v>797</v>
      </c>
      <c r="C20" s="182" t="s">
        <v>185</v>
      </c>
      <c r="D20" s="182" t="s">
        <v>197</v>
      </c>
      <c r="E20" s="190" t="s">
        <v>201</v>
      </c>
      <c r="F20" s="183"/>
      <c r="G20" s="184">
        <f>G21</f>
        <v>722300</v>
      </c>
      <c r="H20" s="251"/>
      <c r="I20" s="184">
        <f t="shared" si="0"/>
        <v>722300</v>
      </c>
      <c r="J20" s="184">
        <f>J21</f>
        <v>597749</v>
      </c>
      <c r="K20" s="251"/>
      <c r="L20" s="184">
        <f t="shared" si="1"/>
        <v>597749</v>
      </c>
      <c r="M20" s="184">
        <f>M21</f>
        <v>609732</v>
      </c>
      <c r="N20" s="251"/>
      <c r="O20" s="184">
        <f t="shared" si="2"/>
        <v>609732</v>
      </c>
    </row>
    <row r="21" spans="1:15" ht="15">
      <c r="A21" s="188" t="s">
        <v>192</v>
      </c>
      <c r="B21" s="182" t="s">
        <v>797</v>
      </c>
      <c r="C21" s="182" t="s">
        <v>185</v>
      </c>
      <c r="D21" s="182" t="s">
        <v>197</v>
      </c>
      <c r="E21" s="190" t="s">
        <v>202</v>
      </c>
      <c r="F21" s="193"/>
      <c r="G21" s="184">
        <f>G22</f>
        <v>722300</v>
      </c>
      <c r="H21" s="251"/>
      <c r="I21" s="184">
        <f t="shared" si="0"/>
        <v>722300</v>
      </c>
      <c r="J21" s="184">
        <f>J22</f>
        <v>597749</v>
      </c>
      <c r="K21" s="251"/>
      <c r="L21" s="184">
        <f t="shared" si="1"/>
        <v>597749</v>
      </c>
      <c r="M21" s="184">
        <f>M22</f>
        <v>609732</v>
      </c>
      <c r="N21" s="251"/>
      <c r="O21" s="184">
        <f t="shared" si="2"/>
        <v>609732</v>
      </c>
    </row>
    <row r="22" spans="1:15" ht="40.5" customHeight="1">
      <c r="A22" s="189" t="s">
        <v>194</v>
      </c>
      <c r="B22" s="182" t="s">
        <v>797</v>
      </c>
      <c r="C22" s="182" t="s">
        <v>185</v>
      </c>
      <c r="D22" s="182" t="s">
        <v>197</v>
      </c>
      <c r="E22" s="190" t="s">
        <v>202</v>
      </c>
      <c r="F22" s="193" t="s">
        <v>195</v>
      </c>
      <c r="G22" s="184">
        <f>722300</f>
        <v>722300</v>
      </c>
      <c r="H22" s="251"/>
      <c r="I22" s="184">
        <f t="shared" si="0"/>
        <v>722300</v>
      </c>
      <c r="J22" s="184">
        <v>597749</v>
      </c>
      <c r="K22" s="251"/>
      <c r="L22" s="184">
        <f t="shared" si="1"/>
        <v>597749</v>
      </c>
      <c r="M22" s="184">
        <v>609732</v>
      </c>
      <c r="N22" s="251"/>
      <c r="O22" s="184">
        <f t="shared" si="2"/>
        <v>609732</v>
      </c>
    </row>
    <row r="23" spans="1:15" ht="18" customHeight="1">
      <c r="A23" s="187" t="s">
        <v>203</v>
      </c>
      <c r="B23" s="182" t="s">
        <v>797</v>
      </c>
      <c r="C23" s="182" t="s">
        <v>185</v>
      </c>
      <c r="D23" s="182" t="s">
        <v>197</v>
      </c>
      <c r="E23" s="190" t="s">
        <v>204</v>
      </c>
      <c r="F23" s="193"/>
      <c r="G23" s="184">
        <f>G24</f>
        <v>668000</v>
      </c>
      <c r="H23" s="251"/>
      <c r="I23" s="184">
        <f t="shared" si="0"/>
        <v>668000</v>
      </c>
      <c r="J23" s="184">
        <f>J24</f>
        <v>552812</v>
      </c>
      <c r="K23" s="251"/>
      <c r="L23" s="184">
        <f t="shared" si="1"/>
        <v>552812</v>
      </c>
      <c r="M23" s="184">
        <f>M24</f>
        <v>563894</v>
      </c>
      <c r="N23" s="251"/>
      <c r="O23" s="184">
        <f t="shared" si="2"/>
        <v>563894</v>
      </c>
    </row>
    <row r="24" spans="1:15" ht="27.75" customHeight="1">
      <c r="A24" s="188" t="s">
        <v>192</v>
      </c>
      <c r="B24" s="182" t="s">
        <v>797</v>
      </c>
      <c r="C24" s="182" t="s">
        <v>185</v>
      </c>
      <c r="D24" s="182" t="s">
        <v>197</v>
      </c>
      <c r="E24" s="190" t="s">
        <v>205</v>
      </c>
      <c r="F24" s="193"/>
      <c r="G24" s="184">
        <f>G25+G26</f>
        <v>668000</v>
      </c>
      <c r="H24" s="251"/>
      <c r="I24" s="184">
        <f t="shared" si="0"/>
        <v>668000</v>
      </c>
      <c r="J24" s="184">
        <f>J25+J26</f>
        <v>552812</v>
      </c>
      <c r="K24" s="251"/>
      <c r="L24" s="184">
        <f t="shared" si="1"/>
        <v>552812</v>
      </c>
      <c r="M24" s="184">
        <f>M25+M26</f>
        <v>563894</v>
      </c>
      <c r="N24" s="251"/>
      <c r="O24" s="184">
        <f t="shared" si="2"/>
        <v>563894</v>
      </c>
    </row>
    <row r="25" spans="1:15" ht="42.75" customHeight="1">
      <c r="A25" s="189" t="s">
        <v>194</v>
      </c>
      <c r="B25" s="182" t="s">
        <v>797</v>
      </c>
      <c r="C25" s="182" t="s">
        <v>185</v>
      </c>
      <c r="D25" s="182" t="s">
        <v>197</v>
      </c>
      <c r="E25" s="190" t="s">
        <v>205</v>
      </c>
      <c r="F25" s="193" t="s">
        <v>195</v>
      </c>
      <c r="G25" s="184">
        <f>668000</f>
        <v>668000</v>
      </c>
      <c r="H25" s="251"/>
      <c r="I25" s="184">
        <f t="shared" si="0"/>
        <v>668000</v>
      </c>
      <c r="J25" s="184">
        <v>552812</v>
      </c>
      <c r="K25" s="251"/>
      <c r="L25" s="184">
        <f t="shared" si="1"/>
        <v>552812</v>
      </c>
      <c r="M25" s="184">
        <v>563894</v>
      </c>
      <c r="N25" s="251"/>
      <c r="O25" s="184">
        <f t="shared" si="2"/>
        <v>563894</v>
      </c>
    </row>
    <row r="26" spans="1:15" ht="19.5" customHeight="1" hidden="1">
      <c r="A26" s="192" t="s">
        <v>206</v>
      </c>
      <c r="B26" s="182" t="s">
        <v>797</v>
      </c>
      <c r="C26" s="182" t="s">
        <v>185</v>
      </c>
      <c r="D26" s="182" t="s">
        <v>197</v>
      </c>
      <c r="E26" s="190" t="s">
        <v>205</v>
      </c>
      <c r="F26" s="193" t="s">
        <v>207</v>
      </c>
      <c r="G26" s="184"/>
      <c r="H26" s="251"/>
      <c r="I26" s="184">
        <f t="shared" si="0"/>
        <v>0</v>
      </c>
      <c r="J26" s="184"/>
      <c r="K26" s="251"/>
      <c r="L26" s="184">
        <f t="shared" si="1"/>
        <v>0</v>
      </c>
      <c r="M26" s="184"/>
      <c r="N26" s="251"/>
      <c r="O26" s="184">
        <f t="shared" si="2"/>
        <v>0</v>
      </c>
    </row>
    <row r="27" spans="1:15" ht="42.75" customHeight="1">
      <c r="A27" s="188" t="s">
        <v>208</v>
      </c>
      <c r="B27" s="182" t="s">
        <v>797</v>
      </c>
      <c r="C27" s="182" t="s">
        <v>209</v>
      </c>
      <c r="D27" s="182" t="s">
        <v>210</v>
      </c>
      <c r="E27" s="182"/>
      <c r="F27" s="183"/>
      <c r="G27" s="184">
        <f>G28+G39+G56+G48+G33</f>
        <v>17378253</v>
      </c>
      <c r="H27" s="251"/>
      <c r="I27" s="184">
        <f t="shared" si="0"/>
        <v>17378253</v>
      </c>
      <c r="J27" s="184">
        <f>J28+J39+J56+J48+J33</f>
        <v>14527240</v>
      </c>
      <c r="K27" s="251"/>
      <c r="L27" s="184">
        <f t="shared" si="1"/>
        <v>14527240</v>
      </c>
      <c r="M27" s="184">
        <f>M28+M39+M56+M48+M33</f>
        <v>15005240</v>
      </c>
      <c r="N27" s="251"/>
      <c r="O27" s="184">
        <f t="shared" si="2"/>
        <v>15005240</v>
      </c>
    </row>
    <row r="28" spans="1:15" ht="30" customHeight="1">
      <c r="A28" s="187" t="s">
        <v>211</v>
      </c>
      <c r="B28" s="182" t="s">
        <v>797</v>
      </c>
      <c r="C28" s="182" t="s">
        <v>209</v>
      </c>
      <c r="D28" s="182" t="s">
        <v>210</v>
      </c>
      <c r="E28" s="190" t="s">
        <v>212</v>
      </c>
      <c r="F28" s="193"/>
      <c r="G28" s="184">
        <f>G29</f>
        <v>173935</v>
      </c>
      <c r="H28" s="251"/>
      <c r="I28" s="184">
        <f t="shared" si="0"/>
        <v>173935</v>
      </c>
      <c r="J28" s="184">
        <f>J29</f>
        <v>43484</v>
      </c>
      <c r="K28" s="251"/>
      <c r="L28" s="184">
        <f t="shared" si="1"/>
        <v>43484</v>
      </c>
      <c r="M28" s="184">
        <f>M29</f>
        <v>260902</v>
      </c>
      <c r="N28" s="251"/>
      <c r="O28" s="184">
        <f t="shared" si="2"/>
        <v>260902</v>
      </c>
    </row>
    <row r="29" spans="1:15" ht="51.75" customHeight="1">
      <c r="A29" s="192" t="s">
        <v>213</v>
      </c>
      <c r="B29" s="182" t="s">
        <v>797</v>
      </c>
      <c r="C29" s="182" t="s">
        <v>185</v>
      </c>
      <c r="D29" s="182" t="s">
        <v>210</v>
      </c>
      <c r="E29" s="190" t="s">
        <v>214</v>
      </c>
      <c r="F29" s="193"/>
      <c r="G29" s="184">
        <f>G30</f>
        <v>173935</v>
      </c>
      <c r="H29" s="251"/>
      <c r="I29" s="184">
        <f t="shared" si="0"/>
        <v>173935</v>
      </c>
      <c r="J29" s="184">
        <f>J30</f>
        <v>43484</v>
      </c>
      <c r="K29" s="251"/>
      <c r="L29" s="184">
        <f t="shared" si="1"/>
        <v>43484</v>
      </c>
      <c r="M29" s="184">
        <f>M30</f>
        <v>260902</v>
      </c>
      <c r="N29" s="251"/>
      <c r="O29" s="184">
        <f t="shared" si="2"/>
        <v>260902</v>
      </c>
    </row>
    <row r="30" spans="1:15" ht="35.25" customHeight="1">
      <c r="A30" s="195" t="s">
        <v>215</v>
      </c>
      <c r="B30" s="182" t="s">
        <v>797</v>
      </c>
      <c r="C30" s="182" t="s">
        <v>185</v>
      </c>
      <c r="D30" s="182" t="s">
        <v>210</v>
      </c>
      <c r="E30" s="190" t="s">
        <v>216</v>
      </c>
      <c r="F30" s="193"/>
      <c r="G30" s="184">
        <f>G31</f>
        <v>173935</v>
      </c>
      <c r="H30" s="251"/>
      <c r="I30" s="184">
        <f t="shared" si="0"/>
        <v>173935</v>
      </c>
      <c r="J30" s="184">
        <f>J31</f>
        <v>43484</v>
      </c>
      <c r="K30" s="251"/>
      <c r="L30" s="184">
        <f t="shared" si="1"/>
        <v>43484</v>
      </c>
      <c r="M30" s="184">
        <f>M31</f>
        <v>260902</v>
      </c>
      <c r="N30" s="251"/>
      <c r="O30" s="184">
        <f t="shared" si="2"/>
        <v>260902</v>
      </c>
    </row>
    <row r="31" spans="1:15" ht="48" customHeight="1">
      <c r="A31" s="196" t="s">
        <v>798</v>
      </c>
      <c r="B31" s="182" t="s">
        <v>797</v>
      </c>
      <c r="C31" s="182" t="s">
        <v>185</v>
      </c>
      <c r="D31" s="182" t="s">
        <v>210</v>
      </c>
      <c r="E31" s="182" t="s">
        <v>218</v>
      </c>
      <c r="F31" s="193"/>
      <c r="G31" s="184">
        <f>G32</f>
        <v>173935</v>
      </c>
      <c r="H31" s="251"/>
      <c r="I31" s="184">
        <f t="shared" si="0"/>
        <v>173935</v>
      </c>
      <c r="J31" s="184">
        <f>J32</f>
        <v>43484</v>
      </c>
      <c r="K31" s="251"/>
      <c r="L31" s="184">
        <f t="shared" si="1"/>
        <v>43484</v>
      </c>
      <c r="M31" s="184">
        <f>M32</f>
        <v>260902</v>
      </c>
      <c r="N31" s="251"/>
      <c r="O31" s="184">
        <f t="shared" si="2"/>
        <v>260902</v>
      </c>
    </row>
    <row r="32" spans="1:15" ht="42.75" customHeight="1">
      <c r="A32" s="192" t="s">
        <v>194</v>
      </c>
      <c r="B32" s="182" t="s">
        <v>797</v>
      </c>
      <c r="C32" s="182" t="s">
        <v>185</v>
      </c>
      <c r="D32" s="182" t="s">
        <v>210</v>
      </c>
      <c r="E32" s="182" t="s">
        <v>218</v>
      </c>
      <c r="F32" s="193" t="s">
        <v>195</v>
      </c>
      <c r="G32" s="184">
        <v>173935</v>
      </c>
      <c r="H32" s="251"/>
      <c r="I32" s="184">
        <f t="shared" si="0"/>
        <v>173935</v>
      </c>
      <c r="J32" s="184">
        <v>43484</v>
      </c>
      <c r="K32" s="251"/>
      <c r="L32" s="184">
        <f t="shared" si="1"/>
        <v>43484</v>
      </c>
      <c r="M32" s="184">
        <v>260902</v>
      </c>
      <c r="N32" s="251"/>
      <c r="O32" s="184">
        <f t="shared" si="2"/>
        <v>260902</v>
      </c>
    </row>
    <row r="33" spans="1:15" ht="30" customHeight="1">
      <c r="A33" s="197" t="s">
        <v>219</v>
      </c>
      <c r="B33" s="182" t="s">
        <v>797</v>
      </c>
      <c r="C33" s="182" t="s">
        <v>185</v>
      </c>
      <c r="D33" s="182" t="s">
        <v>210</v>
      </c>
      <c r="E33" s="190" t="s">
        <v>220</v>
      </c>
      <c r="F33" s="183"/>
      <c r="G33" s="184">
        <f>G34</f>
        <v>369408</v>
      </c>
      <c r="H33" s="251"/>
      <c r="I33" s="184">
        <f t="shared" si="0"/>
        <v>369408</v>
      </c>
      <c r="J33" s="184">
        <f>J34</f>
        <v>369408</v>
      </c>
      <c r="K33" s="251"/>
      <c r="L33" s="184">
        <f t="shared" si="1"/>
        <v>369408</v>
      </c>
      <c r="M33" s="184">
        <f>M34</f>
        <v>369408</v>
      </c>
      <c r="N33" s="251"/>
      <c r="O33" s="184">
        <f t="shared" si="2"/>
        <v>369408</v>
      </c>
    </row>
    <row r="34" spans="1:15" s="198" customFormat="1" ht="57" customHeight="1">
      <c r="A34" s="197" t="s">
        <v>221</v>
      </c>
      <c r="B34" s="182" t="s">
        <v>797</v>
      </c>
      <c r="C34" s="182" t="s">
        <v>185</v>
      </c>
      <c r="D34" s="182" t="s">
        <v>210</v>
      </c>
      <c r="E34" s="190" t="s">
        <v>222</v>
      </c>
      <c r="F34" s="183"/>
      <c r="G34" s="184">
        <f>G36</f>
        <v>369408</v>
      </c>
      <c r="H34" s="251"/>
      <c r="I34" s="184">
        <f t="shared" si="0"/>
        <v>369408</v>
      </c>
      <c r="J34" s="184">
        <f>J36</f>
        <v>369408</v>
      </c>
      <c r="K34" s="251"/>
      <c r="L34" s="184">
        <f t="shared" si="1"/>
        <v>369408</v>
      </c>
      <c r="M34" s="184">
        <f>M36</f>
        <v>369408</v>
      </c>
      <c r="N34" s="251"/>
      <c r="O34" s="184">
        <f t="shared" si="2"/>
        <v>369408</v>
      </c>
    </row>
    <row r="35" spans="1:15" ht="30.75" customHeight="1">
      <c r="A35" s="199" t="s">
        <v>223</v>
      </c>
      <c r="B35" s="182" t="s">
        <v>797</v>
      </c>
      <c r="C35" s="182" t="s">
        <v>185</v>
      </c>
      <c r="D35" s="182" t="s">
        <v>210</v>
      </c>
      <c r="E35" s="190" t="s">
        <v>224</v>
      </c>
      <c r="F35" s="183"/>
      <c r="G35" s="184">
        <f>G36</f>
        <v>369408</v>
      </c>
      <c r="H35" s="251"/>
      <c r="I35" s="184">
        <f t="shared" si="0"/>
        <v>369408</v>
      </c>
      <c r="J35" s="184">
        <f>J36</f>
        <v>369408</v>
      </c>
      <c r="K35" s="251"/>
      <c r="L35" s="184">
        <f t="shared" si="1"/>
        <v>369408</v>
      </c>
      <c r="M35" s="184">
        <f>M36</f>
        <v>369408</v>
      </c>
      <c r="N35" s="251"/>
      <c r="O35" s="184">
        <f t="shared" si="2"/>
        <v>369408</v>
      </c>
    </row>
    <row r="36" spans="1:15" ht="20.25" customHeight="1">
      <c r="A36" s="200" t="s">
        <v>225</v>
      </c>
      <c r="B36" s="182" t="s">
        <v>797</v>
      </c>
      <c r="C36" s="182" t="s">
        <v>185</v>
      </c>
      <c r="D36" s="182" t="s">
        <v>210</v>
      </c>
      <c r="E36" s="190" t="s">
        <v>226</v>
      </c>
      <c r="F36" s="183"/>
      <c r="G36" s="184">
        <f>G37+G38</f>
        <v>369408</v>
      </c>
      <c r="H36" s="251"/>
      <c r="I36" s="184">
        <f t="shared" si="0"/>
        <v>369408</v>
      </c>
      <c r="J36" s="184">
        <f>J37+J38</f>
        <v>369408</v>
      </c>
      <c r="K36" s="251"/>
      <c r="L36" s="184">
        <f t="shared" si="1"/>
        <v>369408</v>
      </c>
      <c r="M36" s="184">
        <f>M37+M38</f>
        <v>369408</v>
      </c>
      <c r="N36" s="251"/>
      <c r="O36" s="184">
        <f t="shared" si="2"/>
        <v>369408</v>
      </c>
    </row>
    <row r="37" spans="1:15" ht="38.25">
      <c r="A37" s="192" t="s">
        <v>194</v>
      </c>
      <c r="B37" s="182" t="s">
        <v>797</v>
      </c>
      <c r="C37" s="182" t="s">
        <v>185</v>
      </c>
      <c r="D37" s="182" t="s">
        <v>210</v>
      </c>
      <c r="E37" s="190" t="s">
        <v>226</v>
      </c>
      <c r="F37" s="193" t="s">
        <v>195</v>
      </c>
      <c r="G37" s="184">
        <v>352717</v>
      </c>
      <c r="H37" s="251"/>
      <c r="I37" s="184">
        <f t="shared" si="0"/>
        <v>352717</v>
      </c>
      <c r="J37" s="184">
        <v>352717</v>
      </c>
      <c r="K37" s="251"/>
      <c r="L37" s="184">
        <f t="shared" si="1"/>
        <v>352717</v>
      </c>
      <c r="M37" s="184">
        <v>352717</v>
      </c>
      <c r="N37" s="251"/>
      <c r="O37" s="184">
        <f t="shared" si="2"/>
        <v>352717</v>
      </c>
    </row>
    <row r="38" spans="1:15" ht="18" customHeight="1">
      <c r="A38" s="192" t="s">
        <v>206</v>
      </c>
      <c r="B38" s="182" t="s">
        <v>797</v>
      </c>
      <c r="C38" s="182" t="s">
        <v>185</v>
      </c>
      <c r="D38" s="182" t="s">
        <v>210</v>
      </c>
      <c r="E38" s="190" t="s">
        <v>226</v>
      </c>
      <c r="F38" s="193" t="s">
        <v>207</v>
      </c>
      <c r="G38" s="184">
        <v>16691</v>
      </c>
      <c r="H38" s="251"/>
      <c r="I38" s="184">
        <f t="shared" si="0"/>
        <v>16691</v>
      </c>
      <c r="J38" s="184">
        <v>16691</v>
      </c>
      <c r="K38" s="251"/>
      <c r="L38" s="184">
        <f t="shared" si="1"/>
        <v>16691</v>
      </c>
      <c r="M38" s="184">
        <v>16691</v>
      </c>
      <c r="N38" s="251"/>
      <c r="O38" s="184">
        <f t="shared" si="2"/>
        <v>16691</v>
      </c>
    </row>
    <row r="39" spans="1:15" ht="43.5" customHeight="1">
      <c r="A39" s="199" t="s">
        <v>227</v>
      </c>
      <c r="B39" s="182" t="s">
        <v>797</v>
      </c>
      <c r="C39" s="182" t="s">
        <v>185</v>
      </c>
      <c r="D39" s="182" t="s">
        <v>210</v>
      </c>
      <c r="E39" s="190" t="s">
        <v>228</v>
      </c>
      <c r="F39" s="193"/>
      <c r="G39" s="184">
        <f>G40</f>
        <v>696200</v>
      </c>
      <c r="H39" s="251"/>
      <c r="I39" s="184">
        <f t="shared" si="0"/>
        <v>696200</v>
      </c>
      <c r="J39" s="184">
        <f>J40</f>
        <v>696200</v>
      </c>
      <c r="K39" s="251"/>
      <c r="L39" s="184">
        <f t="shared" si="1"/>
        <v>696200</v>
      </c>
      <c r="M39" s="184">
        <f>M40</f>
        <v>696200</v>
      </c>
      <c r="N39" s="251"/>
      <c r="O39" s="184">
        <f t="shared" si="2"/>
        <v>696200</v>
      </c>
    </row>
    <row r="40" spans="1:15" s="198" customFormat="1" ht="58.5" customHeight="1">
      <c r="A40" s="199" t="s">
        <v>229</v>
      </c>
      <c r="B40" s="182" t="s">
        <v>797</v>
      </c>
      <c r="C40" s="182" t="s">
        <v>185</v>
      </c>
      <c r="D40" s="182" t="s">
        <v>210</v>
      </c>
      <c r="E40" s="190" t="s">
        <v>230</v>
      </c>
      <c r="F40" s="193"/>
      <c r="G40" s="184">
        <f>G42+G45</f>
        <v>696200</v>
      </c>
      <c r="H40" s="251"/>
      <c r="I40" s="184">
        <f t="shared" si="0"/>
        <v>696200</v>
      </c>
      <c r="J40" s="184">
        <f>J42+J45</f>
        <v>696200</v>
      </c>
      <c r="K40" s="251"/>
      <c r="L40" s="184">
        <f t="shared" si="1"/>
        <v>696200</v>
      </c>
      <c r="M40" s="184">
        <f>M42+M45</f>
        <v>696200</v>
      </c>
      <c r="N40" s="251"/>
      <c r="O40" s="184">
        <f t="shared" si="2"/>
        <v>696200</v>
      </c>
    </row>
    <row r="41" spans="1:15" ht="42" customHeight="1">
      <c r="A41" s="197" t="s">
        <v>231</v>
      </c>
      <c r="B41" s="182" t="s">
        <v>797</v>
      </c>
      <c r="C41" s="182" t="s">
        <v>185</v>
      </c>
      <c r="D41" s="182" t="s">
        <v>210</v>
      </c>
      <c r="E41" s="190" t="s">
        <v>232</v>
      </c>
      <c r="F41" s="193"/>
      <c r="G41" s="184">
        <f>G42+G45</f>
        <v>696200</v>
      </c>
      <c r="H41" s="251"/>
      <c r="I41" s="184">
        <f t="shared" si="0"/>
        <v>696200</v>
      </c>
      <c r="J41" s="184">
        <f>J42+J45</f>
        <v>696200</v>
      </c>
      <c r="K41" s="251"/>
      <c r="L41" s="184">
        <f t="shared" si="1"/>
        <v>696200</v>
      </c>
      <c r="M41" s="184">
        <f>M42+M45</f>
        <v>696200</v>
      </c>
      <c r="N41" s="251"/>
      <c r="O41" s="184">
        <f t="shared" si="2"/>
        <v>696200</v>
      </c>
    </row>
    <row r="42" spans="1:15" ht="29.25" customHeight="1">
      <c r="A42" s="200" t="s">
        <v>233</v>
      </c>
      <c r="B42" s="182" t="s">
        <v>797</v>
      </c>
      <c r="C42" s="182" t="s">
        <v>185</v>
      </c>
      <c r="D42" s="182" t="s">
        <v>210</v>
      </c>
      <c r="E42" s="182" t="s">
        <v>234</v>
      </c>
      <c r="F42" s="183"/>
      <c r="G42" s="184">
        <f>G43+G44</f>
        <v>348100</v>
      </c>
      <c r="H42" s="251"/>
      <c r="I42" s="184">
        <f t="shared" si="0"/>
        <v>348100</v>
      </c>
      <c r="J42" s="184">
        <f>J43+J44</f>
        <v>348100</v>
      </c>
      <c r="K42" s="251"/>
      <c r="L42" s="184">
        <f t="shared" si="1"/>
        <v>348100</v>
      </c>
      <c r="M42" s="184">
        <f>M43+M44</f>
        <v>348100</v>
      </c>
      <c r="N42" s="251"/>
      <c r="O42" s="184">
        <f t="shared" si="2"/>
        <v>348100</v>
      </c>
    </row>
    <row r="43" spans="1:15" ht="44.25" customHeight="1">
      <c r="A43" s="192" t="s">
        <v>194</v>
      </c>
      <c r="B43" s="182" t="s">
        <v>797</v>
      </c>
      <c r="C43" s="182" t="s">
        <v>185</v>
      </c>
      <c r="D43" s="182" t="s">
        <v>210</v>
      </c>
      <c r="E43" s="182" t="s">
        <v>234</v>
      </c>
      <c r="F43" s="193" t="s">
        <v>195</v>
      </c>
      <c r="G43" s="184">
        <v>346296</v>
      </c>
      <c r="H43" s="251"/>
      <c r="I43" s="184">
        <f t="shared" si="0"/>
        <v>346296</v>
      </c>
      <c r="J43" s="184">
        <v>346296</v>
      </c>
      <c r="K43" s="251"/>
      <c r="L43" s="184">
        <f t="shared" si="1"/>
        <v>346296</v>
      </c>
      <c r="M43" s="184">
        <v>346296</v>
      </c>
      <c r="N43" s="251"/>
      <c r="O43" s="184">
        <f t="shared" si="2"/>
        <v>346296</v>
      </c>
    </row>
    <row r="44" spans="1:15" ht="25.5">
      <c r="A44" s="192" t="s">
        <v>206</v>
      </c>
      <c r="B44" s="182" t="s">
        <v>797</v>
      </c>
      <c r="C44" s="182" t="s">
        <v>185</v>
      </c>
      <c r="D44" s="182" t="s">
        <v>210</v>
      </c>
      <c r="E44" s="182" t="s">
        <v>234</v>
      </c>
      <c r="F44" s="193" t="s">
        <v>207</v>
      </c>
      <c r="G44" s="184">
        <v>1804</v>
      </c>
      <c r="H44" s="251"/>
      <c r="I44" s="184">
        <f t="shared" si="0"/>
        <v>1804</v>
      </c>
      <c r="J44" s="184">
        <v>1804</v>
      </c>
      <c r="K44" s="251"/>
      <c r="L44" s="184">
        <f t="shared" si="1"/>
        <v>1804</v>
      </c>
      <c r="M44" s="184">
        <v>1804</v>
      </c>
      <c r="N44" s="251"/>
      <c r="O44" s="184">
        <f t="shared" si="2"/>
        <v>1804</v>
      </c>
    </row>
    <row r="45" spans="1:15" ht="31.5" customHeight="1">
      <c r="A45" s="200" t="s">
        <v>235</v>
      </c>
      <c r="B45" s="182" t="s">
        <v>797</v>
      </c>
      <c r="C45" s="182" t="s">
        <v>185</v>
      </c>
      <c r="D45" s="182" t="s">
        <v>210</v>
      </c>
      <c r="E45" s="182" t="s">
        <v>236</v>
      </c>
      <c r="F45" s="183"/>
      <c r="G45" s="184">
        <f>G46+G47</f>
        <v>348100</v>
      </c>
      <c r="H45" s="251"/>
      <c r="I45" s="184">
        <f t="shared" si="0"/>
        <v>348100</v>
      </c>
      <c r="J45" s="184">
        <f>J46+J47</f>
        <v>348100</v>
      </c>
      <c r="K45" s="251"/>
      <c r="L45" s="184">
        <f t="shared" si="1"/>
        <v>348100</v>
      </c>
      <c r="M45" s="184">
        <f>M46+M47</f>
        <v>348100</v>
      </c>
      <c r="N45" s="251"/>
      <c r="O45" s="184">
        <f t="shared" si="2"/>
        <v>348100</v>
      </c>
    </row>
    <row r="46" spans="1:15" ht="42" customHeight="1">
      <c r="A46" s="192" t="s">
        <v>194</v>
      </c>
      <c r="B46" s="182" t="s">
        <v>797</v>
      </c>
      <c r="C46" s="182" t="s">
        <v>185</v>
      </c>
      <c r="D46" s="182" t="s">
        <v>210</v>
      </c>
      <c r="E46" s="182" t="s">
        <v>236</v>
      </c>
      <c r="F46" s="193" t="s">
        <v>195</v>
      </c>
      <c r="G46" s="184">
        <v>348100</v>
      </c>
      <c r="H46" s="251"/>
      <c r="I46" s="184">
        <f t="shared" si="0"/>
        <v>348100</v>
      </c>
      <c r="J46" s="184">
        <v>348100</v>
      </c>
      <c r="K46" s="251"/>
      <c r="L46" s="184">
        <f t="shared" si="1"/>
        <v>348100</v>
      </c>
      <c r="M46" s="184">
        <v>348100</v>
      </c>
      <c r="N46" s="251"/>
      <c r="O46" s="184">
        <f t="shared" si="2"/>
        <v>348100</v>
      </c>
    </row>
    <row r="47" spans="1:15" ht="25.5" hidden="1">
      <c r="A47" s="192" t="s">
        <v>206</v>
      </c>
      <c r="B47" s="182" t="s">
        <v>797</v>
      </c>
      <c r="C47" s="182" t="s">
        <v>185</v>
      </c>
      <c r="D47" s="182" t="s">
        <v>210</v>
      </c>
      <c r="E47" s="182" t="s">
        <v>236</v>
      </c>
      <c r="F47" s="193" t="s">
        <v>207</v>
      </c>
      <c r="G47" s="184"/>
      <c r="H47" s="251"/>
      <c r="I47" s="184">
        <f t="shared" si="0"/>
        <v>0</v>
      </c>
      <c r="J47" s="184"/>
      <c r="K47" s="251"/>
      <c r="L47" s="184">
        <f t="shared" si="1"/>
        <v>0</v>
      </c>
      <c r="M47" s="184"/>
      <c r="N47" s="251"/>
      <c r="O47" s="184">
        <f t="shared" si="2"/>
        <v>0</v>
      </c>
    </row>
    <row r="48" spans="1:15" ht="18" customHeight="1">
      <c r="A48" s="192" t="s">
        <v>237</v>
      </c>
      <c r="B48" s="182" t="s">
        <v>797</v>
      </c>
      <c r="C48" s="182" t="s">
        <v>185</v>
      </c>
      <c r="D48" s="182" t="s">
        <v>210</v>
      </c>
      <c r="E48" s="182" t="s">
        <v>238</v>
      </c>
      <c r="F48" s="183"/>
      <c r="G48" s="184">
        <f>G49</f>
        <v>15755800</v>
      </c>
      <c r="H48" s="251"/>
      <c r="I48" s="184">
        <f t="shared" si="0"/>
        <v>15755800</v>
      </c>
      <c r="J48" s="184">
        <f>J49</f>
        <v>13035238</v>
      </c>
      <c r="K48" s="251"/>
      <c r="L48" s="184">
        <f t="shared" si="1"/>
        <v>13035238</v>
      </c>
      <c r="M48" s="184">
        <f>M49</f>
        <v>13295820</v>
      </c>
      <c r="N48" s="251"/>
      <c r="O48" s="184">
        <f t="shared" si="2"/>
        <v>13295820</v>
      </c>
    </row>
    <row r="49" spans="1:15" ht="15">
      <c r="A49" s="191" t="s">
        <v>239</v>
      </c>
      <c r="B49" s="182" t="s">
        <v>797</v>
      </c>
      <c r="C49" s="182" t="s">
        <v>185</v>
      </c>
      <c r="D49" s="182" t="s">
        <v>210</v>
      </c>
      <c r="E49" s="182" t="s">
        <v>240</v>
      </c>
      <c r="F49" s="183"/>
      <c r="G49" s="184">
        <f>G52+G50</f>
        <v>15755800</v>
      </c>
      <c r="H49" s="251"/>
      <c r="I49" s="184">
        <f t="shared" si="0"/>
        <v>15755800</v>
      </c>
      <c r="J49" s="184">
        <f>J52+J50</f>
        <v>13035238</v>
      </c>
      <c r="K49" s="251"/>
      <c r="L49" s="184">
        <f t="shared" si="1"/>
        <v>13035238</v>
      </c>
      <c r="M49" s="184">
        <f>M52+M50</f>
        <v>13295820</v>
      </c>
      <c r="N49" s="251"/>
      <c r="O49" s="184">
        <f t="shared" si="2"/>
        <v>13295820</v>
      </c>
    </row>
    <row r="50" spans="1:15" ht="38.25">
      <c r="A50" s="191" t="s">
        <v>241</v>
      </c>
      <c r="B50" s="182" t="s">
        <v>797</v>
      </c>
      <c r="C50" s="182" t="s">
        <v>185</v>
      </c>
      <c r="D50" s="182" t="s">
        <v>210</v>
      </c>
      <c r="E50" s="182" t="s">
        <v>242</v>
      </c>
      <c r="F50" s="183"/>
      <c r="G50" s="184">
        <f>G51</f>
        <v>12000</v>
      </c>
      <c r="H50" s="251"/>
      <c r="I50" s="184">
        <f t="shared" si="0"/>
        <v>12000</v>
      </c>
      <c r="J50" s="184">
        <f>J51</f>
        <v>0</v>
      </c>
      <c r="K50" s="251"/>
      <c r="L50" s="184">
        <f t="shared" si="1"/>
        <v>0</v>
      </c>
      <c r="M50" s="184">
        <f>M51</f>
        <v>0</v>
      </c>
      <c r="N50" s="251"/>
      <c r="O50" s="184">
        <f t="shared" si="2"/>
        <v>0</v>
      </c>
    </row>
    <row r="51" spans="1:15" ht="38.25">
      <c r="A51" s="192" t="s">
        <v>194</v>
      </c>
      <c r="B51" s="182" t="s">
        <v>797</v>
      </c>
      <c r="C51" s="182" t="s">
        <v>185</v>
      </c>
      <c r="D51" s="182" t="s">
        <v>210</v>
      </c>
      <c r="E51" s="182" t="s">
        <v>242</v>
      </c>
      <c r="F51" s="183" t="s">
        <v>195</v>
      </c>
      <c r="G51" s="184">
        <f>12000</f>
        <v>12000</v>
      </c>
      <c r="H51" s="251"/>
      <c r="I51" s="184">
        <f t="shared" si="0"/>
        <v>12000</v>
      </c>
      <c r="J51" s="184">
        <v>0</v>
      </c>
      <c r="K51" s="251"/>
      <c r="L51" s="184">
        <f t="shared" si="1"/>
        <v>0</v>
      </c>
      <c r="M51" s="184">
        <v>0</v>
      </c>
      <c r="N51" s="251"/>
      <c r="O51" s="184">
        <f t="shared" si="2"/>
        <v>0</v>
      </c>
    </row>
    <row r="52" spans="1:15" ht="18.75" customHeight="1">
      <c r="A52" s="191" t="s">
        <v>192</v>
      </c>
      <c r="B52" s="182" t="s">
        <v>797</v>
      </c>
      <c r="C52" s="182" t="s">
        <v>185</v>
      </c>
      <c r="D52" s="182" t="s">
        <v>210</v>
      </c>
      <c r="E52" s="182" t="s">
        <v>243</v>
      </c>
      <c r="F52" s="183"/>
      <c r="G52" s="184">
        <f>G53+G54+G55</f>
        <v>15743800</v>
      </c>
      <c r="H52" s="251"/>
      <c r="I52" s="184">
        <f t="shared" si="0"/>
        <v>15743800</v>
      </c>
      <c r="J52" s="184">
        <f>J53+J54+J55</f>
        <v>13035238</v>
      </c>
      <c r="K52" s="251"/>
      <c r="L52" s="184">
        <f t="shared" si="1"/>
        <v>13035238</v>
      </c>
      <c r="M52" s="184">
        <f>M53+M54+M55</f>
        <v>13295820</v>
      </c>
      <c r="N52" s="251"/>
      <c r="O52" s="184">
        <f t="shared" si="2"/>
        <v>13295820</v>
      </c>
    </row>
    <row r="53" spans="1:15" ht="44.25" customHeight="1">
      <c r="A53" s="192" t="s">
        <v>194</v>
      </c>
      <c r="B53" s="182" t="s">
        <v>797</v>
      </c>
      <c r="C53" s="182" t="s">
        <v>185</v>
      </c>
      <c r="D53" s="182" t="s">
        <v>210</v>
      </c>
      <c r="E53" s="182" t="s">
        <v>243</v>
      </c>
      <c r="F53" s="193" t="s">
        <v>195</v>
      </c>
      <c r="G53" s="184">
        <f>15707600</f>
        <v>15707600</v>
      </c>
      <c r="H53" s="251"/>
      <c r="I53" s="184">
        <f t="shared" si="0"/>
        <v>15707600</v>
      </c>
      <c r="J53" s="184">
        <v>12999038</v>
      </c>
      <c r="K53" s="251"/>
      <c r="L53" s="184">
        <f t="shared" si="1"/>
        <v>12999038</v>
      </c>
      <c r="M53" s="184">
        <v>13259620</v>
      </c>
      <c r="N53" s="251"/>
      <c r="O53" s="184">
        <f t="shared" si="2"/>
        <v>13259620</v>
      </c>
    </row>
    <row r="54" spans="1:15" ht="23.25" customHeight="1">
      <c r="A54" s="192" t="s">
        <v>206</v>
      </c>
      <c r="B54" s="182" t="s">
        <v>797</v>
      </c>
      <c r="C54" s="182" t="s">
        <v>185</v>
      </c>
      <c r="D54" s="182" t="s">
        <v>210</v>
      </c>
      <c r="E54" s="182" t="s">
        <v>243</v>
      </c>
      <c r="F54" s="193" t="s">
        <v>207</v>
      </c>
      <c r="G54" s="201">
        <f>36200</f>
        <v>36200</v>
      </c>
      <c r="H54" s="251"/>
      <c r="I54" s="184">
        <f t="shared" si="0"/>
        <v>36200</v>
      </c>
      <c r="J54" s="201">
        <f>36200</f>
        <v>36200</v>
      </c>
      <c r="K54" s="251"/>
      <c r="L54" s="184">
        <f t="shared" si="1"/>
        <v>36200</v>
      </c>
      <c r="M54" s="201">
        <f>36200</f>
        <v>36200</v>
      </c>
      <c r="N54" s="251"/>
      <c r="O54" s="184">
        <f t="shared" si="2"/>
        <v>36200</v>
      </c>
    </row>
    <row r="55" spans="1:15" ht="15" hidden="1">
      <c r="A55" s="199" t="s">
        <v>244</v>
      </c>
      <c r="B55" s="182" t="s">
        <v>797</v>
      </c>
      <c r="C55" s="182" t="s">
        <v>185</v>
      </c>
      <c r="D55" s="182" t="s">
        <v>210</v>
      </c>
      <c r="E55" s="182" t="s">
        <v>243</v>
      </c>
      <c r="F55" s="193" t="s">
        <v>245</v>
      </c>
      <c r="G55" s="184"/>
      <c r="H55" s="251"/>
      <c r="I55" s="184">
        <f t="shared" si="0"/>
        <v>0</v>
      </c>
      <c r="J55" s="184"/>
      <c r="K55" s="251"/>
      <c r="L55" s="184">
        <f t="shared" si="1"/>
        <v>0</v>
      </c>
      <c r="M55" s="184"/>
      <c r="N55" s="251"/>
      <c r="O55" s="184">
        <f t="shared" si="2"/>
        <v>0</v>
      </c>
    </row>
    <row r="56" spans="1:15" ht="15">
      <c r="A56" s="199" t="s">
        <v>246</v>
      </c>
      <c r="B56" s="182" t="s">
        <v>797</v>
      </c>
      <c r="C56" s="182" t="s">
        <v>185</v>
      </c>
      <c r="D56" s="182" t="s">
        <v>210</v>
      </c>
      <c r="E56" s="182" t="s">
        <v>247</v>
      </c>
      <c r="F56" s="183"/>
      <c r="G56" s="184">
        <f>G57+G61</f>
        <v>382910</v>
      </c>
      <c r="H56" s="251"/>
      <c r="I56" s="184">
        <f t="shared" si="0"/>
        <v>382910</v>
      </c>
      <c r="J56" s="184">
        <f>J57+J61</f>
        <v>382910</v>
      </c>
      <c r="K56" s="251"/>
      <c r="L56" s="184">
        <f t="shared" si="1"/>
        <v>382910</v>
      </c>
      <c r="M56" s="184">
        <f>M57+M61</f>
        <v>382910</v>
      </c>
      <c r="N56" s="251"/>
      <c r="O56" s="184">
        <f t="shared" si="2"/>
        <v>382910</v>
      </c>
    </row>
    <row r="57" spans="1:15" ht="21.75" customHeight="1">
      <c r="A57" s="197" t="s">
        <v>248</v>
      </c>
      <c r="B57" s="182" t="s">
        <v>797</v>
      </c>
      <c r="C57" s="182" t="s">
        <v>185</v>
      </c>
      <c r="D57" s="182" t="s">
        <v>210</v>
      </c>
      <c r="E57" s="182" t="s">
        <v>249</v>
      </c>
      <c r="F57" s="183"/>
      <c r="G57" s="184">
        <f>G58</f>
        <v>348100</v>
      </c>
      <c r="H57" s="251"/>
      <c r="I57" s="184">
        <f t="shared" si="0"/>
        <v>348100</v>
      </c>
      <c r="J57" s="184">
        <f>J58</f>
        <v>348100</v>
      </c>
      <c r="K57" s="251"/>
      <c r="L57" s="184">
        <f t="shared" si="1"/>
        <v>348100</v>
      </c>
      <c r="M57" s="184">
        <f>M58</f>
        <v>348100</v>
      </c>
      <c r="N57" s="251"/>
      <c r="O57" s="184">
        <f t="shared" si="2"/>
        <v>348100</v>
      </c>
    </row>
    <row r="58" spans="1:15" ht="20.25" customHeight="1">
      <c r="A58" s="191" t="s">
        <v>250</v>
      </c>
      <c r="B58" s="182" t="s">
        <v>797</v>
      </c>
      <c r="C58" s="182" t="s">
        <v>185</v>
      </c>
      <c r="D58" s="182" t="s">
        <v>210</v>
      </c>
      <c r="E58" s="182" t="s">
        <v>251</v>
      </c>
      <c r="F58" s="183"/>
      <c r="G58" s="184">
        <f>G59+G60</f>
        <v>348100</v>
      </c>
      <c r="H58" s="251"/>
      <c r="I58" s="184">
        <f t="shared" si="0"/>
        <v>348100</v>
      </c>
      <c r="J58" s="184">
        <f>J59+J60</f>
        <v>348100</v>
      </c>
      <c r="K58" s="251"/>
      <c r="L58" s="184">
        <f t="shared" si="1"/>
        <v>348100</v>
      </c>
      <c r="M58" s="184">
        <f>M59+M60</f>
        <v>348100</v>
      </c>
      <c r="N58" s="251"/>
      <c r="O58" s="184">
        <f t="shared" si="2"/>
        <v>348100</v>
      </c>
    </row>
    <row r="59" spans="1:15" ht="38.25">
      <c r="A59" s="192" t="s">
        <v>194</v>
      </c>
      <c r="B59" s="182" t="s">
        <v>797</v>
      </c>
      <c r="C59" s="182" t="s">
        <v>185</v>
      </c>
      <c r="D59" s="182" t="s">
        <v>210</v>
      </c>
      <c r="E59" s="182" t="s">
        <v>251</v>
      </c>
      <c r="F59" s="193" t="s">
        <v>195</v>
      </c>
      <c r="G59" s="184">
        <v>348100</v>
      </c>
      <c r="H59" s="251"/>
      <c r="I59" s="184">
        <f t="shared" si="0"/>
        <v>348100</v>
      </c>
      <c r="J59" s="184">
        <v>348100</v>
      </c>
      <c r="K59" s="251"/>
      <c r="L59" s="184">
        <f t="shared" si="1"/>
        <v>348100</v>
      </c>
      <c r="M59" s="184">
        <v>348100</v>
      </c>
      <c r="N59" s="251"/>
      <c r="O59" s="184">
        <f t="shared" si="2"/>
        <v>348100</v>
      </c>
    </row>
    <row r="60" spans="1:15" ht="15" hidden="1">
      <c r="A60" s="192" t="s">
        <v>252</v>
      </c>
      <c r="B60" s="182" t="s">
        <v>797</v>
      </c>
      <c r="C60" s="182" t="s">
        <v>185</v>
      </c>
      <c r="D60" s="182" t="s">
        <v>210</v>
      </c>
      <c r="E60" s="182" t="s">
        <v>251</v>
      </c>
      <c r="F60" s="193" t="s">
        <v>207</v>
      </c>
      <c r="G60" s="184">
        <f>20967-20967</f>
        <v>0</v>
      </c>
      <c r="H60" s="251"/>
      <c r="I60" s="184">
        <f t="shared" si="0"/>
        <v>0</v>
      </c>
      <c r="J60" s="184">
        <f>20967-20967</f>
        <v>0</v>
      </c>
      <c r="K60" s="251"/>
      <c r="L60" s="184">
        <f t="shared" si="1"/>
        <v>0</v>
      </c>
      <c r="M60" s="184">
        <f>20967-20967</f>
        <v>0</v>
      </c>
      <c r="N60" s="251"/>
      <c r="O60" s="184">
        <f t="shared" si="2"/>
        <v>0</v>
      </c>
    </row>
    <row r="61" spans="1:15" ht="15">
      <c r="A61" s="199" t="s">
        <v>253</v>
      </c>
      <c r="B61" s="182" t="s">
        <v>797</v>
      </c>
      <c r="C61" s="182" t="s">
        <v>185</v>
      </c>
      <c r="D61" s="182" t="s">
        <v>210</v>
      </c>
      <c r="E61" s="182" t="s">
        <v>254</v>
      </c>
      <c r="F61" s="183"/>
      <c r="G61" s="184">
        <f>G62</f>
        <v>34810</v>
      </c>
      <c r="H61" s="251"/>
      <c r="I61" s="184">
        <f t="shared" si="0"/>
        <v>34810</v>
      </c>
      <c r="J61" s="184">
        <f>J62</f>
        <v>34810</v>
      </c>
      <c r="K61" s="251"/>
      <c r="L61" s="184">
        <f t="shared" si="1"/>
        <v>34810</v>
      </c>
      <c r="M61" s="184">
        <f>M62</f>
        <v>34810</v>
      </c>
      <c r="N61" s="251"/>
      <c r="O61" s="184">
        <f t="shared" si="2"/>
        <v>34810</v>
      </c>
    </row>
    <row r="62" spans="1:15" ht="38.25">
      <c r="A62" s="202" t="s">
        <v>255</v>
      </c>
      <c r="B62" s="182" t="s">
        <v>797</v>
      </c>
      <c r="C62" s="182" t="s">
        <v>185</v>
      </c>
      <c r="D62" s="182" t="s">
        <v>210</v>
      </c>
      <c r="E62" s="182" t="s">
        <v>256</v>
      </c>
      <c r="F62" s="183"/>
      <c r="G62" s="184">
        <f>G63</f>
        <v>34810</v>
      </c>
      <c r="H62" s="251"/>
      <c r="I62" s="184">
        <f t="shared" si="0"/>
        <v>34810</v>
      </c>
      <c r="J62" s="184">
        <f>J63</f>
        <v>34810</v>
      </c>
      <c r="K62" s="251"/>
      <c r="L62" s="184">
        <f t="shared" si="1"/>
        <v>34810</v>
      </c>
      <c r="M62" s="184">
        <f>M63</f>
        <v>34810</v>
      </c>
      <c r="N62" s="251"/>
      <c r="O62" s="184">
        <f t="shared" si="2"/>
        <v>34810</v>
      </c>
    </row>
    <row r="63" spans="1:15" ht="36.75" customHeight="1">
      <c r="A63" s="192" t="s">
        <v>194</v>
      </c>
      <c r="B63" s="182" t="s">
        <v>797</v>
      </c>
      <c r="C63" s="182" t="s">
        <v>185</v>
      </c>
      <c r="D63" s="182" t="s">
        <v>210</v>
      </c>
      <c r="E63" s="182" t="s">
        <v>256</v>
      </c>
      <c r="F63" s="193" t="s">
        <v>195</v>
      </c>
      <c r="G63" s="184">
        <v>34810</v>
      </c>
      <c r="H63" s="251"/>
      <c r="I63" s="184">
        <f t="shared" si="0"/>
        <v>34810</v>
      </c>
      <c r="J63" s="184">
        <v>34810</v>
      </c>
      <c r="K63" s="251"/>
      <c r="L63" s="184">
        <f t="shared" si="1"/>
        <v>34810</v>
      </c>
      <c r="M63" s="184">
        <v>34810</v>
      </c>
      <c r="N63" s="251"/>
      <c r="O63" s="184">
        <f t="shared" si="2"/>
        <v>34810</v>
      </c>
    </row>
    <row r="64" spans="1:15" ht="15">
      <c r="A64" s="203" t="s">
        <v>257</v>
      </c>
      <c r="B64" s="182" t="s">
        <v>797</v>
      </c>
      <c r="C64" s="182" t="s">
        <v>185</v>
      </c>
      <c r="D64" s="182" t="s">
        <v>258</v>
      </c>
      <c r="E64" s="182"/>
      <c r="F64" s="193"/>
      <c r="G64" s="184">
        <f>G65</f>
        <v>2737</v>
      </c>
      <c r="H64" s="251"/>
      <c r="I64" s="184">
        <f t="shared" si="0"/>
        <v>2737</v>
      </c>
      <c r="J64" s="184">
        <f>J65</f>
        <v>0</v>
      </c>
      <c r="K64" s="251"/>
      <c r="L64" s="184">
        <f t="shared" si="1"/>
        <v>0</v>
      </c>
      <c r="M64" s="184">
        <f>M65</f>
        <v>0</v>
      </c>
      <c r="N64" s="251"/>
      <c r="O64" s="184">
        <f t="shared" si="2"/>
        <v>0</v>
      </c>
    </row>
    <row r="65" spans="1:15" ht="15">
      <c r="A65" s="199" t="s">
        <v>246</v>
      </c>
      <c r="B65" s="182" t="s">
        <v>797</v>
      </c>
      <c r="C65" s="182" t="s">
        <v>185</v>
      </c>
      <c r="D65" s="182" t="s">
        <v>258</v>
      </c>
      <c r="E65" s="182" t="s">
        <v>247</v>
      </c>
      <c r="F65" s="193"/>
      <c r="G65" s="184">
        <f>G66</f>
        <v>2737</v>
      </c>
      <c r="H65" s="251"/>
      <c r="I65" s="184">
        <f t="shared" si="0"/>
        <v>2737</v>
      </c>
      <c r="J65" s="184">
        <f>J66</f>
        <v>0</v>
      </c>
      <c r="K65" s="251"/>
      <c r="L65" s="184">
        <f t="shared" si="1"/>
        <v>0</v>
      </c>
      <c r="M65" s="184">
        <f>M66</f>
        <v>0</v>
      </c>
      <c r="N65" s="251"/>
      <c r="O65" s="184">
        <f t="shared" si="2"/>
        <v>0</v>
      </c>
    </row>
    <row r="66" spans="1:15" ht="15">
      <c r="A66" s="199" t="s">
        <v>253</v>
      </c>
      <c r="B66" s="182" t="s">
        <v>797</v>
      </c>
      <c r="C66" s="182" t="s">
        <v>185</v>
      </c>
      <c r="D66" s="182" t="s">
        <v>258</v>
      </c>
      <c r="E66" s="182" t="s">
        <v>254</v>
      </c>
      <c r="F66" s="193"/>
      <c r="G66" s="184">
        <f>G67</f>
        <v>2737</v>
      </c>
      <c r="H66" s="251"/>
      <c r="I66" s="184">
        <f t="shared" si="0"/>
        <v>2737</v>
      </c>
      <c r="J66" s="184">
        <f>J67</f>
        <v>0</v>
      </c>
      <c r="K66" s="251"/>
      <c r="L66" s="184">
        <f t="shared" si="1"/>
        <v>0</v>
      </c>
      <c r="M66" s="184">
        <f>M67</f>
        <v>0</v>
      </c>
      <c r="N66" s="251"/>
      <c r="O66" s="184">
        <f t="shared" si="2"/>
        <v>0</v>
      </c>
    </row>
    <row r="67" spans="1:15" ht="38.25">
      <c r="A67" s="200" t="s">
        <v>259</v>
      </c>
      <c r="B67" s="182" t="s">
        <v>797</v>
      </c>
      <c r="C67" s="182" t="s">
        <v>185</v>
      </c>
      <c r="D67" s="182" t="s">
        <v>258</v>
      </c>
      <c r="E67" s="182" t="s">
        <v>260</v>
      </c>
      <c r="F67" s="193"/>
      <c r="G67" s="184">
        <f>G68</f>
        <v>2737</v>
      </c>
      <c r="H67" s="251"/>
      <c r="I67" s="184">
        <f t="shared" si="0"/>
        <v>2737</v>
      </c>
      <c r="J67" s="184">
        <f>J68</f>
        <v>0</v>
      </c>
      <c r="K67" s="251"/>
      <c r="L67" s="184">
        <f t="shared" si="1"/>
        <v>0</v>
      </c>
      <c r="M67" s="184">
        <f>M68</f>
        <v>0</v>
      </c>
      <c r="N67" s="251"/>
      <c r="O67" s="184">
        <f t="shared" si="2"/>
        <v>0</v>
      </c>
    </row>
    <row r="68" spans="1:15" ht="15">
      <c r="A68" s="192" t="s">
        <v>252</v>
      </c>
      <c r="B68" s="182" t="s">
        <v>797</v>
      </c>
      <c r="C68" s="182" t="s">
        <v>185</v>
      </c>
      <c r="D68" s="182" t="s">
        <v>258</v>
      </c>
      <c r="E68" s="182" t="s">
        <v>260</v>
      </c>
      <c r="F68" s="193" t="s">
        <v>207</v>
      </c>
      <c r="G68" s="184">
        <v>2737</v>
      </c>
      <c r="H68" s="251"/>
      <c r="I68" s="184">
        <f t="shared" si="0"/>
        <v>2737</v>
      </c>
      <c r="J68" s="184"/>
      <c r="K68" s="251"/>
      <c r="L68" s="184">
        <f t="shared" si="1"/>
        <v>0</v>
      </c>
      <c r="M68" s="184"/>
      <c r="N68" s="251"/>
      <c r="O68" s="184">
        <f t="shared" si="2"/>
        <v>0</v>
      </c>
    </row>
    <row r="69" spans="1:15" ht="25.5">
      <c r="A69" s="199" t="s">
        <v>261</v>
      </c>
      <c r="B69" s="182" t="s">
        <v>797</v>
      </c>
      <c r="C69" s="182" t="s">
        <v>185</v>
      </c>
      <c r="D69" s="182" t="s">
        <v>262</v>
      </c>
      <c r="E69" s="182"/>
      <c r="F69" s="183"/>
      <c r="G69" s="184">
        <f>G70</f>
        <v>427600</v>
      </c>
      <c r="H69" s="251"/>
      <c r="I69" s="184">
        <f t="shared" si="0"/>
        <v>427600</v>
      </c>
      <c r="J69" s="184">
        <f>J70</f>
        <v>353866</v>
      </c>
      <c r="K69" s="251"/>
      <c r="L69" s="184">
        <f t="shared" si="1"/>
        <v>353866</v>
      </c>
      <c r="M69" s="184">
        <f>M70</f>
        <v>360960</v>
      </c>
      <c r="N69" s="251"/>
      <c r="O69" s="184">
        <f t="shared" si="2"/>
        <v>360960</v>
      </c>
    </row>
    <row r="70" spans="1:15" ht="20.25" customHeight="1">
      <c r="A70" s="192" t="s">
        <v>263</v>
      </c>
      <c r="B70" s="182" t="s">
        <v>797</v>
      </c>
      <c r="C70" s="182" t="s">
        <v>185</v>
      </c>
      <c r="D70" s="182" t="s">
        <v>262</v>
      </c>
      <c r="E70" s="204" t="s">
        <v>264</v>
      </c>
      <c r="F70" s="193"/>
      <c r="G70" s="184">
        <f>G71</f>
        <v>427600</v>
      </c>
      <c r="H70" s="251"/>
      <c r="I70" s="184">
        <f t="shared" si="0"/>
        <v>427600</v>
      </c>
      <c r="J70" s="184">
        <f>J71</f>
        <v>353866</v>
      </c>
      <c r="K70" s="251"/>
      <c r="L70" s="184">
        <f t="shared" si="1"/>
        <v>353866</v>
      </c>
      <c r="M70" s="184">
        <f>M71</f>
        <v>360960</v>
      </c>
      <c r="N70" s="251"/>
      <c r="O70" s="184">
        <f t="shared" si="2"/>
        <v>360960</v>
      </c>
    </row>
    <row r="71" spans="1:15" ht="15">
      <c r="A71" s="192" t="s">
        <v>265</v>
      </c>
      <c r="B71" s="182" t="s">
        <v>797</v>
      </c>
      <c r="C71" s="182" t="s">
        <v>185</v>
      </c>
      <c r="D71" s="182" t="s">
        <v>262</v>
      </c>
      <c r="E71" s="204" t="s">
        <v>266</v>
      </c>
      <c r="F71" s="193"/>
      <c r="G71" s="184">
        <f>G72</f>
        <v>427600</v>
      </c>
      <c r="H71" s="251"/>
      <c r="I71" s="184">
        <f t="shared" si="0"/>
        <v>427600</v>
      </c>
      <c r="J71" s="184">
        <f>J72</f>
        <v>353866</v>
      </c>
      <c r="K71" s="251"/>
      <c r="L71" s="184">
        <f t="shared" si="1"/>
        <v>353866</v>
      </c>
      <c r="M71" s="184">
        <f>M72</f>
        <v>360960</v>
      </c>
      <c r="N71" s="251"/>
      <c r="O71" s="184">
        <f t="shared" si="2"/>
        <v>360960</v>
      </c>
    </row>
    <row r="72" spans="1:15" ht="19.5" customHeight="1">
      <c r="A72" s="191" t="s">
        <v>192</v>
      </c>
      <c r="B72" s="182" t="s">
        <v>797</v>
      </c>
      <c r="C72" s="182" t="s">
        <v>185</v>
      </c>
      <c r="D72" s="182" t="s">
        <v>262</v>
      </c>
      <c r="E72" s="204" t="s">
        <v>267</v>
      </c>
      <c r="F72" s="183"/>
      <c r="G72" s="184">
        <f>G73</f>
        <v>427600</v>
      </c>
      <c r="H72" s="251"/>
      <c r="I72" s="184">
        <f t="shared" si="0"/>
        <v>427600</v>
      </c>
      <c r="J72" s="184">
        <f>J73</f>
        <v>353866</v>
      </c>
      <c r="K72" s="251"/>
      <c r="L72" s="184">
        <f t="shared" si="1"/>
        <v>353866</v>
      </c>
      <c r="M72" s="184">
        <f>M73</f>
        <v>360960</v>
      </c>
      <c r="N72" s="251"/>
      <c r="O72" s="184">
        <f t="shared" si="2"/>
        <v>360960</v>
      </c>
    </row>
    <row r="73" spans="1:15" ht="45" customHeight="1">
      <c r="A73" s="192" t="s">
        <v>194</v>
      </c>
      <c r="B73" s="182" t="s">
        <v>797</v>
      </c>
      <c r="C73" s="182" t="s">
        <v>185</v>
      </c>
      <c r="D73" s="182" t="s">
        <v>262</v>
      </c>
      <c r="E73" s="204" t="s">
        <v>267</v>
      </c>
      <c r="F73" s="193" t="s">
        <v>195</v>
      </c>
      <c r="G73" s="184">
        <f>427600</f>
        <v>427600</v>
      </c>
      <c r="H73" s="251"/>
      <c r="I73" s="184">
        <f t="shared" si="0"/>
        <v>427600</v>
      </c>
      <c r="J73" s="184">
        <v>353866</v>
      </c>
      <c r="K73" s="251"/>
      <c r="L73" s="184">
        <f t="shared" si="1"/>
        <v>353866</v>
      </c>
      <c r="M73" s="184">
        <v>360960</v>
      </c>
      <c r="N73" s="251"/>
      <c r="O73" s="184">
        <f t="shared" si="2"/>
        <v>360960</v>
      </c>
    </row>
    <row r="74" spans="1:15" ht="15" hidden="1">
      <c r="A74" s="205" t="s">
        <v>268</v>
      </c>
      <c r="B74" s="182" t="s">
        <v>797</v>
      </c>
      <c r="C74" s="182" t="s">
        <v>185</v>
      </c>
      <c r="D74" s="182" t="s">
        <v>269</v>
      </c>
      <c r="E74" s="204"/>
      <c r="F74" s="193"/>
      <c r="G74" s="184">
        <f>G75</f>
        <v>0</v>
      </c>
      <c r="H74" s="251"/>
      <c r="I74" s="184">
        <f t="shared" si="0"/>
        <v>0</v>
      </c>
      <c r="J74" s="184">
        <f>J75</f>
        <v>0</v>
      </c>
      <c r="K74" s="251"/>
      <c r="L74" s="184">
        <f t="shared" si="1"/>
        <v>0</v>
      </c>
      <c r="M74" s="184">
        <f>M75</f>
        <v>0</v>
      </c>
      <c r="N74" s="251"/>
      <c r="O74" s="184">
        <f t="shared" si="2"/>
        <v>0</v>
      </c>
    </row>
    <row r="75" spans="1:15" ht="15" hidden="1">
      <c r="A75" s="199" t="s">
        <v>246</v>
      </c>
      <c r="B75" s="182" t="s">
        <v>797</v>
      </c>
      <c r="C75" s="182" t="s">
        <v>185</v>
      </c>
      <c r="D75" s="182" t="s">
        <v>269</v>
      </c>
      <c r="E75" s="204" t="s">
        <v>247</v>
      </c>
      <c r="F75" s="193"/>
      <c r="G75" s="184">
        <f>G76</f>
        <v>0</v>
      </c>
      <c r="H75" s="251"/>
      <c r="I75" s="184">
        <f aca="true" t="shared" si="3" ref="I75:I138">G75+H75</f>
        <v>0</v>
      </c>
      <c r="J75" s="184">
        <f>J76</f>
        <v>0</v>
      </c>
      <c r="K75" s="251"/>
      <c r="L75" s="184">
        <f t="shared" si="1"/>
        <v>0</v>
      </c>
      <c r="M75" s="184">
        <f>M76</f>
        <v>0</v>
      </c>
      <c r="N75" s="251"/>
      <c r="O75" s="184">
        <f t="shared" si="2"/>
        <v>0</v>
      </c>
    </row>
    <row r="76" spans="1:15" ht="15" hidden="1">
      <c r="A76" s="199" t="s">
        <v>270</v>
      </c>
      <c r="B76" s="182" t="s">
        <v>797</v>
      </c>
      <c r="C76" s="182" t="s">
        <v>185</v>
      </c>
      <c r="D76" s="182" t="s">
        <v>269</v>
      </c>
      <c r="E76" s="204" t="s">
        <v>271</v>
      </c>
      <c r="F76" s="193"/>
      <c r="G76" s="184">
        <f>G77</f>
        <v>0</v>
      </c>
      <c r="H76" s="251"/>
      <c r="I76" s="184">
        <f t="shared" si="3"/>
        <v>0</v>
      </c>
      <c r="J76" s="184">
        <f>J77</f>
        <v>0</v>
      </c>
      <c r="K76" s="251"/>
      <c r="L76" s="184">
        <f t="shared" si="1"/>
        <v>0</v>
      </c>
      <c r="M76" s="184">
        <f>M77</f>
        <v>0</v>
      </c>
      <c r="N76" s="251"/>
      <c r="O76" s="184">
        <f t="shared" si="2"/>
        <v>0</v>
      </c>
    </row>
    <row r="77" spans="1:15" ht="15" hidden="1">
      <c r="A77" s="199" t="s">
        <v>272</v>
      </c>
      <c r="B77" s="182" t="s">
        <v>797</v>
      </c>
      <c r="C77" s="182" t="s">
        <v>185</v>
      </c>
      <c r="D77" s="182" t="s">
        <v>269</v>
      </c>
      <c r="E77" s="204" t="s">
        <v>273</v>
      </c>
      <c r="F77" s="193"/>
      <c r="G77" s="184">
        <f>G78</f>
        <v>0</v>
      </c>
      <c r="H77" s="251"/>
      <c r="I77" s="184">
        <f t="shared" si="3"/>
        <v>0</v>
      </c>
      <c r="J77" s="184">
        <f>J78</f>
        <v>0</v>
      </c>
      <c r="K77" s="251"/>
      <c r="L77" s="184">
        <f t="shared" si="1"/>
        <v>0</v>
      </c>
      <c r="M77" s="184">
        <f>M78</f>
        <v>0</v>
      </c>
      <c r="N77" s="251"/>
      <c r="O77" s="184">
        <f t="shared" si="2"/>
        <v>0</v>
      </c>
    </row>
    <row r="78" spans="1:15" ht="15" hidden="1">
      <c r="A78" s="199" t="s">
        <v>274</v>
      </c>
      <c r="B78" s="182" t="s">
        <v>797</v>
      </c>
      <c r="C78" s="182" t="s">
        <v>185</v>
      </c>
      <c r="D78" s="182" t="s">
        <v>269</v>
      </c>
      <c r="E78" s="204" t="s">
        <v>273</v>
      </c>
      <c r="F78" s="193" t="s">
        <v>275</v>
      </c>
      <c r="G78" s="184"/>
      <c r="H78" s="251"/>
      <c r="I78" s="184">
        <f t="shared" si="3"/>
        <v>0</v>
      </c>
      <c r="J78" s="184"/>
      <c r="K78" s="251"/>
      <c r="L78" s="184">
        <f aca="true" t="shared" si="4" ref="L78:L148">J78+K78</f>
        <v>0</v>
      </c>
      <c r="M78" s="184"/>
      <c r="N78" s="251"/>
      <c r="O78" s="184">
        <f aca="true" t="shared" si="5" ref="O78:O148">M78+N78</f>
        <v>0</v>
      </c>
    </row>
    <row r="79" spans="1:15" ht="15">
      <c r="A79" s="199" t="s">
        <v>276</v>
      </c>
      <c r="B79" s="182" t="s">
        <v>797</v>
      </c>
      <c r="C79" s="182" t="s">
        <v>185</v>
      </c>
      <c r="D79" s="182" t="s">
        <v>277</v>
      </c>
      <c r="E79" s="182"/>
      <c r="F79" s="183"/>
      <c r="G79" s="184">
        <f>G81</f>
        <v>5000000</v>
      </c>
      <c r="H79" s="251"/>
      <c r="I79" s="184">
        <f t="shared" si="3"/>
        <v>5000000</v>
      </c>
      <c r="J79" s="184">
        <f>J81</f>
        <v>100000</v>
      </c>
      <c r="K79" s="251"/>
      <c r="L79" s="184">
        <f t="shared" si="4"/>
        <v>100000</v>
      </c>
      <c r="M79" s="184">
        <f>M81</f>
        <v>100000</v>
      </c>
      <c r="N79" s="251"/>
      <c r="O79" s="184">
        <f t="shared" si="5"/>
        <v>100000</v>
      </c>
    </row>
    <row r="80" spans="1:15" ht="15">
      <c r="A80" s="192" t="s">
        <v>278</v>
      </c>
      <c r="B80" s="182" t="s">
        <v>797</v>
      </c>
      <c r="C80" s="182" t="s">
        <v>185</v>
      </c>
      <c r="D80" s="182" t="s">
        <v>277</v>
      </c>
      <c r="E80" s="190" t="s">
        <v>279</v>
      </c>
      <c r="F80" s="206" t="s">
        <v>280</v>
      </c>
      <c r="G80" s="184">
        <f>G81</f>
        <v>5000000</v>
      </c>
      <c r="H80" s="251"/>
      <c r="I80" s="184">
        <f t="shared" si="3"/>
        <v>5000000</v>
      </c>
      <c r="J80" s="184">
        <f>J81</f>
        <v>100000</v>
      </c>
      <c r="K80" s="251"/>
      <c r="L80" s="184">
        <f t="shared" si="4"/>
        <v>100000</v>
      </c>
      <c r="M80" s="184">
        <f>M81</f>
        <v>100000</v>
      </c>
      <c r="N80" s="251"/>
      <c r="O80" s="184">
        <f t="shared" si="5"/>
        <v>100000</v>
      </c>
    </row>
    <row r="81" spans="1:15" ht="15">
      <c r="A81" s="192" t="s">
        <v>276</v>
      </c>
      <c r="B81" s="182" t="s">
        <v>797</v>
      </c>
      <c r="C81" s="182" t="s">
        <v>185</v>
      </c>
      <c r="D81" s="182" t="s">
        <v>277</v>
      </c>
      <c r="E81" s="190" t="s">
        <v>281</v>
      </c>
      <c r="F81" s="206" t="s">
        <v>280</v>
      </c>
      <c r="G81" s="184">
        <f>G82</f>
        <v>5000000</v>
      </c>
      <c r="H81" s="251"/>
      <c r="I81" s="184">
        <f t="shared" si="3"/>
        <v>5000000</v>
      </c>
      <c r="J81" s="184">
        <f>J82</f>
        <v>100000</v>
      </c>
      <c r="K81" s="251"/>
      <c r="L81" s="184">
        <f t="shared" si="4"/>
        <v>100000</v>
      </c>
      <c r="M81" s="184">
        <f>M82</f>
        <v>100000</v>
      </c>
      <c r="N81" s="251"/>
      <c r="O81" s="184">
        <f t="shared" si="5"/>
        <v>100000</v>
      </c>
    </row>
    <row r="82" spans="1:15" ht="15">
      <c r="A82" s="191" t="s">
        <v>282</v>
      </c>
      <c r="B82" s="182" t="s">
        <v>797</v>
      </c>
      <c r="C82" s="182" t="s">
        <v>185</v>
      </c>
      <c r="D82" s="182" t="s">
        <v>277</v>
      </c>
      <c r="E82" s="190" t="s">
        <v>283</v>
      </c>
      <c r="F82" s="206" t="s">
        <v>280</v>
      </c>
      <c r="G82" s="184">
        <f>G83</f>
        <v>5000000</v>
      </c>
      <c r="H82" s="251"/>
      <c r="I82" s="184">
        <f t="shared" si="3"/>
        <v>5000000</v>
      </c>
      <c r="J82" s="184">
        <f>J83</f>
        <v>100000</v>
      </c>
      <c r="K82" s="251"/>
      <c r="L82" s="184">
        <f t="shared" si="4"/>
        <v>100000</v>
      </c>
      <c r="M82" s="184">
        <f>M83</f>
        <v>100000</v>
      </c>
      <c r="N82" s="251"/>
      <c r="O82" s="184">
        <f t="shared" si="5"/>
        <v>100000</v>
      </c>
    </row>
    <row r="83" spans="1:15" ht="17.25" customHeight="1">
      <c r="A83" s="192" t="s">
        <v>274</v>
      </c>
      <c r="B83" s="182" t="s">
        <v>797</v>
      </c>
      <c r="C83" s="182" t="s">
        <v>185</v>
      </c>
      <c r="D83" s="182" t="s">
        <v>277</v>
      </c>
      <c r="E83" s="190" t="s">
        <v>283</v>
      </c>
      <c r="F83" s="206" t="s">
        <v>275</v>
      </c>
      <c r="G83" s="184">
        <f>5000000</f>
        <v>5000000</v>
      </c>
      <c r="H83" s="251"/>
      <c r="I83" s="184">
        <f t="shared" si="3"/>
        <v>5000000</v>
      </c>
      <c r="J83" s="184">
        <v>100000</v>
      </c>
      <c r="K83" s="251"/>
      <c r="L83" s="184">
        <f t="shared" si="4"/>
        <v>100000</v>
      </c>
      <c r="M83" s="184">
        <v>100000</v>
      </c>
      <c r="N83" s="251"/>
      <c r="O83" s="184">
        <f t="shared" si="5"/>
        <v>100000</v>
      </c>
    </row>
    <row r="84" spans="1:19" ht="15">
      <c r="A84" s="199" t="s">
        <v>284</v>
      </c>
      <c r="B84" s="182" t="s">
        <v>797</v>
      </c>
      <c r="C84" s="182" t="s">
        <v>185</v>
      </c>
      <c r="D84" s="182" t="s">
        <v>285</v>
      </c>
      <c r="E84" s="182"/>
      <c r="F84" s="183"/>
      <c r="G84" s="184">
        <f>G85+G107+G144+G150+G118+G130+G123+G113+G139+G166+G97+G162+G102</f>
        <v>27504292</v>
      </c>
      <c r="H84" s="251"/>
      <c r="I84" s="184">
        <f t="shared" si="3"/>
        <v>27504292</v>
      </c>
      <c r="J84" s="184">
        <f>J85+J107+J144+J150+J118+J130+J123+J113+J139+J166+J97+J162+J102</f>
        <v>21827612</v>
      </c>
      <c r="K84" s="251"/>
      <c r="L84" s="184">
        <f t="shared" si="4"/>
        <v>21827612</v>
      </c>
      <c r="M84" s="184">
        <f>M85+M107+M144+M150+M118+M130+M123+M113+M139+M166+M97+M162+M102</f>
        <v>24750850</v>
      </c>
      <c r="N84" s="251"/>
      <c r="O84" s="184">
        <f t="shared" si="5"/>
        <v>24750850</v>
      </c>
      <c r="Q84" s="194"/>
      <c r="R84" s="194"/>
      <c r="S84" s="194"/>
    </row>
    <row r="85" spans="1:15" ht="30.75" customHeight="1">
      <c r="A85" s="199" t="s">
        <v>286</v>
      </c>
      <c r="B85" s="182" t="s">
        <v>797</v>
      </c>
      <c r="C85" s="182" t="s">
        <v>185</v>
      </c>
      <c r="D85" s="182" t="s">
        <v>285</v>
      </c>
      <c r="E85" s="182" t="s">
        <v>212</v>
      </c>
      <c r="F85" s="183"/>
      <c r="G85" s="184">
        <f>G86+G90</f>
        <v>111000</v>
      </c>
      <c r="H85" s="251"/>
      <c r="I85" s="184">
        <f t="shared" si="3"/>
        <v>111000</v>
      </c>
      <c r="J85" s="184">
        <f>J86+J90</f>
        <v>111000</v>
      </c>
      <c r="K85" s="251"/>
      <c r="L85" s="184">
        <f t="shared" si="4"/>
        <v>111000</v>
      </c>
      <c r="M85" s="184">
        <f>M86+M90</f>
        <v>111000</v>
      </c>
      <c r="N85" s="251"/>
      <c r="O85" s="184">
        <f t="shared" si="5"/>
        <v>111000</v>
      </c>
    </row>
    <row r="86" spans="1:15" ht="41.25" customHeight="1">
      <c r="A86" s="191" t="s">
        <v>287</v>
      </c>
      <c r="B86" s="182" t="s">
        <v>797</v>
      </c>
      <c r="C86" s="182" t="s">
        <v>185</v>
      </c>
      <c r="D86" s="182" t="s">
        <v>285</v>
      </c>
      <c r="E86" s="182" t="s">
        <v>288</v>
      </c>
      <c r="F86" s="183"/>
      <c r="G86" s="184">
        <f>G87</f>
        <v>84000</v>
      </c>
      <c r="H86" s="251"/>
      <c r="I86" s="184">
        <f t="shared" si="3"/>
        <v>84000</v>
      </c>
      <c r="J86" s="184">
        <f>J87</f>
        <v>84000</v>
      </c>
      <c r="K86" s="251"/>
      <c r="L86" s="184">
        <f t="shared" si="4"/>
        <v>84000</v>
      </c>
      <c r="M86" s="184">
        <f>M87</f>
        <v>84000</v>
      </c>
      <c r="N86" s="251"/>
      <c r="O86" s="184">
        <f t="shared" si="5"/>
        <v>84000</v>
      </c>
    </row>
    <row r="87" spans="1:15" ht="30.75" customHeight="1">
      <c r="A87" s="191" t="s">
        <v>289</v>
      </c>
      <c r="B87" s="182" t="s">
        <v>797</v>
      </c>
      <c r="C87" s="182" t="s">
        <v>185</v>
      </c>
      <c r="D87" s="182" t="s">
        <v>285</v>
      </c>
      <c r="E87" s="182" t="s">
        <v>290</v>
      </c>
      <c r="F87" s="183"/>
      <c r="G87" s="184">
        <f>G88</f>
        <v>84000</v>
      </c>
      <c r="H87" s="251"/>
      <c r="I87" s="184">
        <f t="shared" si="3"/>
        <v>84000</v>
      </c>
      <c r="J87" s="184">
        <f>J88</f>
        <v>84000</v>
      </c>
      <c r="K87" s="251"/>
      <c r="L87" s="184">
        <f t="shared" si="4"/>
        <v>84000</v>
      </c>
      <c r="M87" s="184">
        <f>M88</f>
        <v>84000</v>
      </c>
      <c r="N87" s="251"/>
      <c r="O87" s="184">
        <f t="shared" si="5"/>
        <v>84000</v>
      </c>
    </row>
    <row r="88" spans="1:15" ht="15.75" customHeight="1">
      <c r="A88" s="192" t="s">
        <v>291</v>
      </c>
      <c r="B88" s="182" t="s">
        <v>797</v>
      </c>
      <c r="C88" s="182" t="s">
        <v>185</v>
      </c>
      <c r="D88" s="182" t="s">
        <v>285</v>
      </c>
      <c r="E88" s="207" t="s">
        <v>292</v>
      </c>
      <c r="F88" s="183"/>
      <c r="G88" s="184">
        <f>G89</f>
        <v>84000</v>
      </c>
      <c r="H88" s="251"/>
      <c r="I88" s="184">
        <f t="shared" si="3"/>
        <v>84000</v>
      </c>
      <c r="J88" s="184">
        <f>J89</f>
        <v>84000</v>
      </c>
      <c r="K88" s="251"/>
      <c r="L88" s="184">
        <f t="shared" si="4"/>
        <v>84000</v>
      </c>
      <c r="M88" s="184">
        <f>M89</f>
        <v>84000</v>
      </c>
      <c r="N88" s="251"/>
      <c r="O88" s="184">
        <f t="shared" si="5"/>
        <v>84000</v>
      </c>
    </row>
    <row r="89" spans="1:15" ht="27.75" customHeight="1">
      <c r="A89" s="192" t="s">
        <v>206</v>
      </c>
      <c r="B89" s="182" t="s">
        <v>797</v>
      </c>
      <c r="C89" s="182" t="s">
        <v>185</v>
      </c>
      <c r="D89" s="182" t="s">
        <v>285</v>
      </c>
      <c r="E89" s="207" t="s">
        <v>292</v>
      </c>
      <c r="F89" s="183" t="s">
        <v>207</v>
      </c>
      <c r="G89" s="184">
        <f>34000+50000</f>
        <v>84000</v>
      </c>
      <c r="H89" s="251"/>
      <c r="I89" s="184">
        <f t="shared" si="3"/>
        <v>84000</v>
      </c>
      <c r="J89" s="184">
        <f>34000+50000</f>
        <v>84000</v>
      </c>
      <c r="K89" s="251"/>
      <c r="L89" s="184">
        <f t="shared" si="4"/>
        <v>84000</v>
      </c>
      <c r="M89" s="184">
        <f>34000+50000</f>
        <v>84000</v>
      </c>
      <c r="N89" s="251"/>
      <c r="O89" s="184">
        <f t="shared" si="5"/>
        <v>84000</v>
      </c>
    </row>
    <row r="90" spans="1:15" ht="43.5" customHeight="1">
      <c r="A90" s="192" t="s">
        <v>213</v>
      </c>
      <c r="B90" s="182" t="s">
        <v>797</v>
      </c>
      <c r="C90" s="182" t="s">
        <v>185</v>
      </c>
      <c r="D90" s="182" t="s">
        <v>285</v>
      </c>
      <c r="E90" s="182" t="s">
        <v>214</v>
      </c>
      <c r="F90" s="183"/>
      <c r="G90" s="184">
        <f>G91+G94</f>
        <v>27000</v>
      </c>
      <c r="H90" s="251"/>
      <c r="I90" s="184">
        <f t="shared" si="3"/>
        <v>27000</v>
      </c>
      <c r="J90" s="184">
        <f>J91+J94</f>
        <v>27000</v>
      </c>
      <c r="K90" s="251"/>
      <c r="L90" s="184">
        <f t="shared" si="4"/>
        <v>27000</v>
      </c>
      <c r="M90" s="184">
        <f>M91+M94</f>
        <v>27000</v>
      </c>
      <c r="N90" s="251"/>
      <c r="O90" s="184">
        <f t="shared" si="5"/>
        <v>27000</v>
      </c>
    </row>
    <row r="91" spans="1:15" ht="38.25" hidden="1">
      <c r="A91" s="195" t="s">
        <v>293</v>
      </c>
      <c r="B91" s="182" t="s">
        <v>797</v>
      </c>
      <c r="C91" s="182" t="s">
        <v>185</v>
      </c>
      <c r="D91" s="182" t="s">
        <v>285</v>
      </c>
      <c r="E91" s="182" t="s">
        <v>294</v>
      </c>
      <c r="F91" s="183"/>
      <c r="G91" s="184">
        <f>G93</f>
        <v>0</v>
      </c>
      <c r="H91" s="251"/>
      <c r="I91" s="184">
        <f t="shared" si="3"/>
        <v>0</v>
      </c>
      <c r="J91" s="184">
        <f>J93</f>
        <v>0</v>
      </c>
      <c r="K91" s="251"/>
      <c r="L91" s="184">
        <f t="shared" si="4"/>
        <v>0</v>
      </c>
      <c r="M91" s="184">
        <f>M93</f>
        <v>0</v>
      </c>
      <c r="N91" s="251"/>
      <c r="O91" s="184">
        <f t="shared" si="5"/>
        <v>0</v>
      </c>
    </row>
    <row r="92" spans="1:15" ht="63.75" hidden="1">
      <c r="A92" s="200" t="s">
        <v>295</v>
      </c>
      <c r="B92" s="182" t="s">
        <v>797</v>
      </c>
      <c r="C92" s="182" t="s">
        <v>185</v>
      </c>
      <c r="D92" s="182" t="s">
        <v>285</v>
      </c>
      <c r="E92" s="208" t="s">
        <v>296</v>
      </c>
      <c r="F92" s="183"/>
      <c r="G92" s="184">
        <f>G93</f>
        <v>0</v>
      </c>
      <c r="H92" s="251"/>
      <c r="I92" s="184">
        <f t="shared" si="3"/>
        <v>0</v>
      </c>
      <c r="J92" s="184">
        <f>J93</f>
        <v>0</v>
      </c>
      <c r="K92" s="251"/>
      <c r="L92" s="184">
        <f t="shared" si="4"/>
        <v>0</v>
      </c>
      <c r="M92" s="184">
        <f>M93</f>
        <v>0</v>
      </c>
      <c r="N92" s="251"/>
      <c r="O92" s="184">
        <f t="shared" si="5"/>
        <v>0</v>
      </c>
    </row>
    <row r="93" spans="1:15" ht="25.5" hidden="1">
      <c r="A93" s="192" t="s">
        <v>206</v>
      </c>
      <c r="B93" s="182" t="s">
        <v>797</v>
      </c>
      <c r="C93" s="182" t="s">
        <v>185</v>
      </c>
      <c r="D93" s="182" t="s">
        <v>285</v>
      </c>
      <c r="E93" s="208" t="s">
        <v>296</v>
      </c>
      <c r="F93" s="183" t="s">
        <v>207</v>
      </c>
      <c r="G93" s="184"/>
      <c r="H93" s="251"/>
      <c r="I93" s="184">
        <f t="shared" si="3"/>
        <v>0</v>
      </c>
      <c r="J93" s="184"/>
      <c r="K93" s="251"/>
      <c r="L93" s="184">
        <f t="shared" si="4"/>
        <v>0</v>
      </c>
      <c r="M93" s="184"/>
      <c r="N93" s="251"/>
      <c r="O93" s="184">
        <f t="shared" si="5"/>
        <v>0</v>
      </c>
    </row>
    <row r="94" spans="1:15" ht="28.5" customHeight="1">
      <c r="A94" s="200" t="s">
        <v>297</v>
      </c>
      <c r="B94" s="182" t="s">
        <v>797</v>
      </c>
      <c r="C94" s="182" t="s">
        <v>185</v>
      </c>
      <c r="D94" s="182" t="s">
        <v>285</v>
      </c>
      <c r="E94" s="182" t="s">
        <v>298</v>
      </c>
      <c r="F94" s="183"/>
      <c r="G94" s="184">
        <f>G95</f>
        <v>27000</v>
      </c>
      <c r="H94" s="251"/>
      <c r="I94" s="184">
        <f t="shared" si="3"/>
        <v>27000</v>
      </c>
      <c r="J94" s="184">
        <f>J95</f>
        <v>27000</v>
      </c>
      <c r="K94" s="251"/>
      <c r="L94" s="184">
        <f t="shared" si="4"/>
        <v>27000</v>
      </c>
      <c r="M94" s="184">
        <f>M95</f>
        <v>27000</v>
      </c>
      <c r="N94" s="251"/>
      <c r="O94" s="184">
        <f t="shared" si="5"/>
        <v>27000</v>
      </c>
    </row>
    <row r="95" spans="1:15" ht="31.5" customHeight="1">
      <c r="A95" s="191" t="s">
        <v>299</v>
      </c>
      <c r="B95" s="182" t="s">
        <v>797</v>
      </c>
      <c r="C95" s="182" t="s">
        <v>185</v>
      </c>
      <c r="D95" s="182" t="s">
        <v>285</v>
      </c>
      <c r="E95" s="207" t="s">
        <v>300</v>
      </c>
      <c r="F95" s="183"/>
      <c r="G95" s="184">
        <f>G96</f>
        <v>27000</v>
      </c>
      <c r="H95" s="251"/>
      <c r="I95" s="184">
        <f t="shared" si="3"/>
        <v>27000</v>
      </c>
      <c r="J95" s="184">
        <f>J96</f>
        <v>27000</v>
      </c>
      <c r="K95" s="251"/>
      <c r="L95" s="184">
        <f t="shared" si="4"/>
        <v>27000</v>
      </c>
      <c r="M95" s="184">
        <f>M96</f>
        <v>27000</v>
      </c>
      <c r="N95" s="251"/>
      <c r="O95" s="184">
        <f t="shared" si="5"/>
        <v>27000</v>
      </c>
    </row>
    <row r="96" spans="1:15" ht="18" customHeight="1">
      <c r="A96" s="192" t="s">
        <v>206</v>
      </c>
      <c r="B96" s="182" t="s">
        <v>797</v>
      </c>
      <c r="C96" s="182" t="s">
        <v>185</v>
      </c>
      <c r="D96" s="182" t="s">
        <v>285</v>
      </c>
      <c r="E96" s="207" t="s">
        <v>300</v>
      </c>
      <c r="F96" s="183" t="s">
        <v>207</v>
      </c>
      <c r="G96" s="184">
        <v>27000</v>
      </c>
      <c r="H96" s="251"/>
      <c r="I96" s="184">
        <f t="shared" si="3"/>
        <v>27000</v>
      </c>
      <c r="J96" s="184">
        <v>27000</v>
      </c>
      <c r="K96" s="251"/>
      <c r="L96" s="184">
        <f t="shared" si="4"/>
        <v>27000</v>
      </c>
      <c r="M96" s="184">
        <v>27000</v>
      </c>
      <c r="N96" s="251"/>
      <c r="O96" s="184">
        <f t="shared" si="5"/>
        <v>27000</v>
      </c>
    </row>
    <row r="97" spans="1:15" ht="25.5">
      <c r="A97" s="199" t="s">
        <v>301</v>
      </c>
      <c r="B97" s="182" t="s">
        <v>797</v>
      </c>
      <c r="C97" s="182" t="s">
        <v>185</v>
      </c>
      <c r="D97" s="182" t="s">
        <v>285</v>
      </c>
      <c r="E97" s="182" t="s">
        <v>302</v>
      </c>
      <c r="F97" s="183"/>
      <c r="G97" s="184">
        <f>G98</f>
        <v>194944</v>
      </c>
      <c r="H97" s="251"/>
      <c r="I97" s="184">
        <f t="shared" si="3"/>
        <v>194944</v>
      </c>
      <c r="J97" s="184">
        <f>J98</f>
        <v>194944</v>
      </c>
      <c r="K97" s="251"/>
      <c r="L97" s="184">
        <f t="shared" si="4"/>
        <v>194944</v>
      </c>
      <c r="M97" s="184">
        <f>M98</f>
        <v>194944</v>
      </c>
      <c r="N97" s="251"/>
      <c r="O97" s="184">
        <f t="shared" si="5"/>
        <v>194944</v>
      </c>
    </row>
    <row r="98" spans="1:15" ht="45.75" customHeight="1">
      <c r="A98" s="209" t="s">
        <v>303</v>
      </c>
      <c r="B98" s="182" t="s">
        <v>797</v>
      </c>
      <c r="C98" s="182" t="s">
        <v>185</v>
      </c>
      <c r="D98" s="182" t="s">
        <v>285</v>
      </c>
      <c r="E98" s="182" t="s">
        <v>304</v>
      </c>
      <c r="F98" s="183"/>
      <c r="G98" s="184">
        <f>G99</f>
        <v>194944</v>
      </c>
      <c r="H98" s="251"/>
      <c r="I98" s="184">
        <f t="shared" si="3"/>
        <v>194944</v>
      </c>
      <c r="J98" s="184">
        <f>J99</f>
        <v>194944</v>
      </c>
      <c r="K98" s="251"/>
      <c r="L98" s="184">
        <f t="shared" si="4"/>
        <v>194944</v>
      </c>
      <c r="M98" s="184">
        <f>M99</f>
        <v>194944</v>
      </c>
      <c r="N98" s="251"/>
      <c r="O98" s="184">
        <f t="shared" si="5"/>
        <v>194944</v>
      </c>
    </row>
    <row r="99" spans="1:15" ht="25.5">
      <c r="A99" s="199" t="s">
        <v>305</v>
      </c>
      <c r="B99" s="182" t="s">
        <v>797</v>
      </c>
      <c r="C99" s="182" t="s">
        <v>185</v>
      </c>
      <c r="D99" s="182" t="s">
        <v>285</v>
      </c>
      <c r="E99" s="182" t="s">
        <v>306</v>
      </c>
      <c r="F99" s="183"/>
      <c r="G99" s="184">
        <f>G100</f>
        <v>194944</v>
      </c>
      <c r="H99" s="251"/>
      <c r="I99" s="184">
        <f t="shared" si="3"/>
        <v>194944</v>
      </c>
      <c r="J99" s="184">
        <f>J100</f>
        <v>194944</v>
      </c>
      <c r="K99" s="251"/>
      <c r="L99" s="184">
        <f t="shared" si="4"/>
        <v>194944</v>
      </c>
      <c r="M99" s="184">
        <f>M100</f>
        <v>194944</v>
      </c>
      <c r="N99" s="251"/>
      <c r="O99" s="184">
        <f t="shared" si="5"/>
        <v>194944</v>
      </c>
    </row>
    <row r="100" spans="1:15" ht="25.5">
      <c r="A100" s="199" t="s">
        <v>307</v>
      </c>
      <c r="B100" s="182" t="s">
        <v>797</v>
      </c>
      <c r="C100" s="182" t="s">
        <v>185</v>
      </c>
      <c r="D100" s="182" t="s">
        <v>285</v>
      </c>
      <c r="E100" s="182" t="s">
        <v>308</v>
      </c>
      <c r="F100" s="193"/>
      <c r="G100" s="184">
        <f>G101</f>
        <v>194944</v>
      </c>
      <c r="H100" s="251"/>
      <c r="I100" s="184">
        <f t="shared" si="3"/>
        <v>194944</v>
      </c>
      <c r="J100" s="184">
        <f>J101</f>
        <v>194944</v>
      </c>
      <c r="K100" s="251"/>
      <c r="L100" s="184">
        <f t="shared" si="4"/>
        <v>194944</v>
      </c>
      <c r="M100" s="184">
        <f>M101</f>
        <v>194944</v>
      </c>
      <c r="N100" s="251"/>
      <c r="O100" s="184">
        <f t="shared" si="5"/>
        <v>194944</v>
      </c>
    </row>
    <row r="101" spans="1:15" ht="38.25">
      <c r="A101" s="192" t="s">
        <v>194</v>
      </c>
      <c r="B101" s="182" t="s">
        <v>797</v>
      </c>
      <c r="C101" s="182" t="s">
        <v>185</v>
      </c>
      <c r="D101" s="182" t="s">
        <v>285</v>
      </c>
      <c r="E101" s="182" t="s">
        <v>308</v>
      </c>
      <c r="F101" s="210" t="s">
        <v>195</v>
      </c>
      <c r="G101" s="184">
        <v>194944</v>
      </c>
      <c r="H101" s="251"/>
      <c r="I101" s="184">
        <f t="shared" si="3"/>
        <v>194944</v>
      </c>
      <c r="J101" s="184">
        <v>194944</v>
      </c>
      <c r="K101" s="251"/>
      <c r="L101" s="184">
        <f t="shared" si="4"/>
        <v>194944</v>
      </c>
      <c r="M101" s="184">
        <v>194944</v>
      </c>
      <c r="N101" s="251"/>
      <c r="O101" s="184">
        <f t="shared" si="5"/>
        <v>194944</v>
      </c>
    </row>
    <row r="102" spans="1:15" ht="33" customHeight="1">
      <c r="A102" s="192" t="s">
        <v>309</v>
      </c>
      <c r="B102" s="182" t="s">
        <v>797</v>
      </c>
      <c r="C102" s="182" t="s">
        <v>185</v>
      </c>
      <c r="D102" s="182" t="s">
        <v>285</v>
      </c>
      <c r="E102" s="182" t="s">
        <v>310</v>
      </c>
      <c r="F102" s="210"/>
      <c r="G102" s="184">
        <f>G103</f>
        <v>30000</v>
      </c>
      <c r="H102" s="251"/>
      <c r="I102" s="184">
        <f t="shared" si="3"/>
        <v>30000</v>
      </c>
      <c r="J102" s="184">
        <f>J103</f>
        <v>30000</v>
      </c>
      <c r="K102" s="251"/>
      <c r="L102" s="184">
        <f t="shared" si="4"/>
        <v>30000</v>
      </c>
      <c r="M102" s="184">
        <f>M103</f>
        <v>30000</v>
      </c>
      <c r="N102" s="251"/>
      <c r="O102" s="184">
        <f t="shared" si="5"/>
        <v>30000</v>
      </c>
    </row>
    <row r="103" spans="1:15" ht="51">
      <c r="A103" s="211" t="s">
        <v>311</v>
      </c>
      <c r="B103" s="182" t="s">
        <v>797</v>
      </c>
      <c r="C103" s="182" t="s">
        <v>185</v>
      </c>
      <c r="D103" s="182" t="s">
        <v>285</v>
      </c>
      <c r="E103" s="182" t="s">
        <v>312</v>
      </c>
      <c r="F103" s="210"/>
      <c r="G103" s="184">
        <f>G104</f>
        <v>30000</v>
      </c>
      <c r="H103" s="251"/>
      <c r="I103" s="184">
        <f t="shared" si="3"/>
        <v>30000</v>
      </c>
      <c r="J103" s="184">
        <f>J104</f>
        <v>30000</v>
      </c>
      <c r="K103" s="251"/>
      <c r="L103" s="184">
        <f t="shared" si="4"/>
        <v>30000</v>
      </c>
      <c r="M103" s="184">
        <f>M104</f>
        <v>30000</v>
      </c>
      <c r="N103" s="251"/>
      <c r="O103" s="184">
        <f t="shared" si="5"/>
        <v>30000</v>
      </c>
    </row>
    <row r="104" spans="1:15" ht="27" customHeight="1">
      <c r="A104" s="212" t="s">
        <v>313</v>
      </c>
      <c r="B104" s="182" t="s">
        <v>797</v>
      </c>
      <c r="C104" s="182" t="s">
        <v>185</v>
      </c>
      <c r="D104" s="182" t="s">
        <v>285</v>
      </c>
      <c r="E104" s="182" t="s">
        <v>314</v>
      </c>
      <c r="F104" s="210"/>
      <c r="G104" s="184">
        <f>G105</f>
        <v>30000</v>
      </c>
      <c r="H104" s="251"/>
      <c r="I104" s="184">
        <f t="shared" si="3"/>
        <v>30000</v>
      </c>
      <c r="J104" s="184">
        <f>J105</f>
        <v>30000</v>
      </c>
      <c r="K104" s="251"/>
      <c r="L104" s="184">
        <f t="shared" si="4"/>
        <v>30000</v>
      </c>
      <c r="M104" s="184">
        <f>M105</f>
        <v>30000</v>
      </c>
      <c r="N104" s="251"/>
      <c r="O104" s="184">
        <f t="shared" si="5"/>
        <v>30000</v>
      </c>
    </row>
    <row r="105" spans="1:15" ht="15">
      <c r="A105" s="197" t="s">
        <v>315</v>
      </c>
      <c r="B105" s="182" t="s">
        <v>797</v>
      </c>
      <c r="C105" s="182" t="s">
        <v>185</v>
      </c>
      <c r="D105" s="182" t="s">
        <v>285</v>
      </c>
      <c r="E105" s="182" t="s">
        <v>316</v>
      </c>
      <c r="F105" s="210"/>
      <c r="G105" s="184">
        <f>G106</f>
        <v>30000</v>
      </c>
      <c r="H105" s="251"/>
      <c r="I105" s="184">
        <f t="shared" si="3"/>
        <v>30000</v>
      </c>
      <c r="J105" s="184">
        <f>J106</f>
        <v>30000</v>
      </c>
      <c r="K105" s="251"/>
      <c r="L105" s="184">
        <f t="shared" si="4"/>
        <v>30000</v>
      </c>
      <c r="M105" s="184">
        <f>M106</f>
        <v>30000</v>
      </c>
      <c r="N105" s="251"/>
      <c r="O105" s="184">
        <f t="shared" si="5"/>
        <v>30000</v>
      </c>
    </row>
    <row r="106" spans="1:15" ht="25.5">
      <c r="A106" s="192" t="s">
        <v>206</v>
      </c>
      <c r="B106" s="182" t="s">
        <v>797</v>
      </c>
      <c r="C106" s="182" t="s">
        <v>185</v>
      </c>
      <c r="D106" s="182" t="s">
        <v>285</v>
      </c>
      <c r="E106" s="182" t="s">
        <v>316</v>
      </c>
      <c r="F106" s="210" t="s">
        <v>207</v>
      </c>
      <c r="G106" s="184">
        <f>30000</f>
        <v>30000</v>
      </c>
      <c r="H106" s="251"/>
      <c r="I106" s="184">
        <f t="shared" si="3"/>
        <v>30000</v>
      </c>
      <c r="J106" s="184">
        <f>30000</f>
        <v>30000</v>
      </c>
      <c r="K106" s="251"/>
      <c r="L106" s="184">
        <f t="shared" si="4"/>
        <v>30000</v>
      </c>
      <c r="M106" s="184">
        <f>30000</f>
        <v>30000</v>
      </c>
      <c r="N106" s="251"/>
      <c r="O106" s="184">
        <f t="shared" si="5"/>
        <v>30000</v>
      </c>
    </row>
    <row r="107" spans="1:15" ht="30" customHeight="1">
      <c r="A107" s="209" t="s">
        <v>317</v>
      </c>
      <c r="B107" s="182" t="s">
        <v>797</v>
      </c>
      <c r="C107" s="182" t="s">
        <v>185</v>
      </c>
      <c r="D107" s="182" t="s">
        <v>285</v>
      </c>
      <c r="E107" s="182" t="s">
        <v>318</v>
      </c>
      <c r="F107" s="193"/>
      <c r="G107" s="184">
        <f>G108</f>
        <v>598000</v>
      </c>
      <c r="H107" s="251"/>
      <c r="I107" s="184">
        <f t="shared" si="3"/>
        <v>598000</v>
      </c>
      <c r="J107" s="184">
        <f>J108</f>
        <v>598000</v>
      </c>
      <c r="K107" s="251"/>
      <c r="L107" s="184">
        <f t="shared" si="4"/>
        <v>598000</v>
      </c>
      <c r="M107" s="184">
        <f>M108</f>
        <v>598000</v>
      </c>
      <c r="N107" s="251"/>
      <c r="O107" s="184">
        <f t="shared" si="5"/>
        <v>598000</v>
      </c>
    </row>
    <row r="108" spans="1:15" ht="40.5" customHeight="1">
      <c r="A108" s="211" t="s">
        <v>319</v>
      </c>
      <c r="B108" s="182" t="s">
        <v>797</v>
      </c>
      <c r="C108" s="182" t="s">
        <v>185</v>
      </c>
      <c r="D108" s="182" t="s">
        <v>285</v>
      </c>
      <c r="E108" s="182" t="s">
        <v>320</v>
      </c>
      <c r="F108" s="193"/>
      <c r="G108" s="184">
        <f>G109</f>
        <v>598000</v>
      </c>
      <c r="H108" s="251"/>
      <c r="I108" s="184">
        <f t="shared" si="3"/>
        <v>598000</v>
      </c>
      <c r="J108" s="184">
        <f>J109</f>
        <v>598000</v>
      </c>
      <c r="K108" s="251"/>
      <c r="L108" s="184">
        <f t="shared" si="4"/>
        <v>598000</v>
      </c>
      <c r="M108" s="184">
        <f>M109</f>
        <v>598000</v>
      </c>
      <c r="N108" s="251"/>
      <c r="O108" s="184">
        <f t="shared" si="5"/>
        <v>598000</v>
      </c>
    </row>
    <row r="109" spans="1:15" ht="18.75" customHeight="1">
      <c r="A109" s="211" t="s">
        <v>321</v>
      </c>
      <c r="B109" s="182" t="s">
        <v>797</v>
      </c>
      <c r="C109" s="182" t="s">
        <v>185</v>
      </c>
      <c r="D109" s="182" t="s">
        <v>285</v>
      </c>
      <c r="E109" s="182" t="s">
        <v>322</v>
      </c>
      <c r="F109" s="193"/>
      <c r="G109" s="184">
        <f>G110</f>
        <v>598000</v>
      </c>
      <c r="H109" s="251"/>
      <c r="I109" s="184">
        <f t="shared" si="3"/>
        <v>598000</v>
      </c>
      <c r="J109" s="184">
        <f>J110</f>
        <v>598000</v>
      </c>
      <c r="K109" s="251"/>
      <c r="L109" s="184">
        <f t="shared" si="4"/>
        <v>598000</v>
      </c>
      <c r="M109" s="184">
        <f>M110</f>
        <v>598000</v>
      </c>
      <c r="N109" s="251"/>
      <c r="O109" s="184">
        <f t="shared" si="5"/>
        <v>598000</v>
      </c>
    </row>
    <row r="110" spans="1:15" ht="17.25" customHeight="1">
      <c r="A110" s="211" t="s">
        <v>323</v>
      </c>
      <c r="B110" s="182" t="s">
        <v>797</v>
      </c>
      <c r="C110" s="182" t="s">
        <v>185</v>
      </c>
      <c r="D110" s="182" t="s">
        <v>285</v>
      </c>
      <c r="E110" s="182" t="s">
        <v>324</v>
      </c>
      <c r="F110" s="193"/>
      <c r="G110" s="184">
        <f>G112+G111</f>
        <v>598000</v>
      </c>
      <c r="H110" s="251"/>
      <c r="I110" s="184">
        <f t="shared" si="3"/>
        <v>598000</v>
      </c>
      <c r="J110" s="184">
        <f>J112+J111</f>
        <v>598000</v>
      </c>
      <c r="K110" s="251"/>
      <c r="L110" s="184">
        <f t="shared" si="4"/>
        <v>598000</v>
      </c>
      <c r="M110" s="184">
        <f>M112+M111</f>
        <v>598000</v>
      </c>
      <c r="N110" s="251"/>
      <c r="O110" s="184">
        <f t="shared" si="5"/>
        <v>598000</v>
      </c>
    </row>
    <row r="111" spans="1:15" ht="38.25" hidden="1">
      <c r="A111" s="192" t="s">
        <v>194</v>
      </c>
      <c r="B111" s="182" t="s">
        <v>797</v>
      </c>
      <c r="C111" s="182" t="s">
        <v>185</v>
      </c>
      <c r="D111" s="182" t="s">
        <v>285</v>
      </c>
      <c r="E111" s="182" t="s">
        <v>324</v>
      </c>
      <c r="F111" s="193" t="s">
        <v>195</v>
      </c>
      <c r="G111" s="184"/>
      <c r="H111" s="251"/>
      <c r="I111" s="184">
        <f t="shared" si="3"/>
        <v>0</v>
      </c>
      <c r="J111" s="184"/>
      <c r="K111" s="251"/>
      <c r="L111" s="184">
        <f t="shared" si="4"/>
        <v>0</v>
      </c>
      <c r="M111" s="184"/>
      <c r="N111" s="251"/>
      <c r="O111" s="184">
        <f t="shared" si="5"/>
        <v>0</v>
      </c>
    </row>
    <row r="112" spans="1:15" ht="24.75" customHeight="1">
      <c r="A112" s="192" t="s">
        <v>206</v>
      </c>
      <c r="B112" s="182" t="s">
        <v>797</v>
      </c>
      <c r="C112" s="182" t="s">
        <v>185</v>
      </c>
      <c r="D112" s="182" t="s">
        <v>285</v>
      </c>
      <c r="E112" s="182" t="s">
        <v>324</v>
      </c>
      <c r="F112" s="183" t="s">
        <v>207</v>
      </c>
      <c r="G112" s="184">
        <f>748000-85000+85000-150000</f>
        <v>598000</v>
      </c>
      <c r="H112" s="251"/>
      <c r="I112" s="184">
        <f t="shared" si="3"/>
        <v>598000</v>
      </c>
      <c r="J112" s="184">
        <f>748000-85000+85000-150000</f>
        <v>598000</v>
      </c>
      <c r="K112" s="251"/>
      <c r="L112" s="184">
        <f t="shared" si="4"/>
        <v>598000</v>
      </c>
      <c r="M112" s="184">
        <f>748000-85000+85000-150000</f>
        <v>598000</v>
      </c>
      <c r="N112" s="251"/>
      <c r="O112" s="184">
        <f t="shared" si="5"/>
        <v>598000</v>
      </c>
    </row>
    <row r="113" spans="1:15" ht="0.75" customHeight="1" hidden="1">
      <c r="A113" s="197" t="s">
        <v>219</v>
      </c>
      <c r="B113" s="182" t="s">
        <v>797</v>
      </c>
      <c r="C113" s="182" t="s">
        <v>185</v>
      </c>
      <c r="D113" s="182" t="s">
        <v>285</v>
      </c>
      <c r="E113" s="190" t="s">
        <v>220</v>
      </c>
      <c r="F113" s="183"/>
      <c r="G113" s="184">
        <f>G114</f>
        <v>227849</v>
      </c>
      <c r="H113" s="251"/>
      <c r="I113" s="184">
        <f t="shared" si="3"/>
        <v>227849</v>
      </c>
      <c r="J113" s="184">
        <f>J114</f>
        <v>175000</v>
      </c>
      <c r="K113" s="251"/>
      <c r="L113" s="184">
        <f t="shared" si="4"/>
        <v>175000</v>
      </c>
      <c r="M113" s="184">
        <f>M114</f>
        <v>175000</v>
      </c>
      <c r="N113" s="251"/>
      <c r="O113" s="184">
        <f t="shared" si="5"/>
        <v>175000</v>
      </c>
    </row>
    <row r="114" spans="1:15" ht="66.75" customHeight="1" hidden="1">
      <c r="A114" s="197" t="s">
        <v>221</v>
      </c>
      <c r="B114" s="182" t="s">
        <v>797</v>
      </c>
      <c r="C114" s="182" t="s">
        <v>185</v>
      </c>
      <c r="D114" s="182" t="s">
        <v>285</v>
      </c>
      <c r="E114" s="190" t="s">
        <v>222</v>
      </c>
      <c r="F114" s="183"/>
      <c r="G114" s="184">
        <f>G115</f>
        <v>227849</v>
      </c>
      <c r="H114" s="251"/>
      <c r="I114" s="184">
        <f t="shared" si="3"/>
        <v>227849</v>
      </c>
      <c r="J114" s="184">
        <f>J115</f>
        <v>175000</v>
      </c>
      <c r="K114" s="251"/>
      <c r="L114" s="184">
        <f t="shared" si="4"/>
        <v>175000</v>
      </c>
      <c r="M114" s="184">
        <f>M115</f>
        <v>175000</v>
      </c>
      <c r="N114" s="251"/>
      <c r="O114" s="184">
        <f t="shared" si="5"/>
        <v>175000</v>
      </c>
    </row>
    <row r="115" spans="1:15" ht="25.5" hidden="1">
      <c r="A115" s="199" t="s">
        <v>223</v>
      </c>
      <c r="B115" s="182" t="s">
        <v>797</v>
      </c>
      <c r="C115" s="182" t="s">
        <v>185</v>
      </c>
      <c r="D115" s="182" t="s">
        <v>285</v>
      </c>
      <c r="E115" s="190" t="s">
        <v>224</v>
      </c>
      <c r="F115" s="183"/>
      <c r="G115" s="184">
        <f>G116</f>
        <v>227849</v>
      </c>
      <c r="H115" s="251"/>
      <c r="I115" s="184">
        <f t="shared" si="3"/>
        <v>227849</v>
      </c>
      <c r="J115" s="184">
        <f>J116</f>
        <v>175000</v>
      </c>
      <c r="K115" s="251"/>
      <c r="L115" s="184">
        <f t="shared" si="4"/>
        <v>175000</v>
      </c>
      <c r="M115" s="184">
        <f>M116</f>
        <v>175000</v>
      </c>
      <c r="N115" s="251"/>
      <c r="O115" s="184">
        <f t="shared" si="5"/>
        <v>175000</v>
      </c>
    </row>
    <row r="116" spans="1:15" ht="18.75" customHeight="1">
      <c r="A116" s="192" t="s">
        <v>325</v>
      </c>
      <c r="B116" s="182" t="s">
        <v>797</v>
      </c>
      <c r="C116" s="182" t="s">
        <v>185</v>
      </c>
      <c r="D116" s="182" t="s">
        <v>285</v>
      </c>
      <c r="E116" s="190" t="s">
        <v>326</v>
      </c>
      <c r="F116" s="183"/>
      <c r="G116" s="184">
        <f>G117</f>
        <v>227849</v>
      </c>
      <c r="H116" s="251"/>
      <c r="I116" s="184">
        <f t="shared" si="3"/>
        <v>227849</v>
      </c>
      <c r="J116" s="184">
        <f>J117</f>
        <v>175000</v>
      </c>
      <c r="K116" s="251"/>
      <c r="L116" s="184">
        <f t="shared" si="4"/>
        <v>175000</v>
      </c>
      <c r="M116" s="184">
        <f>M117</f>
        <v>175000</v>
      </c>
      <c r="N116" s="251"/>
      <c r="O116" s="184">
        <f t="shared" si="5"/>
        <v>175000</v>
      </c>
    </row>
    <row r="117" spans="1:15" ht="29.25" customHeight="1">
      <c r="A117" s="192" t="s">
        <v>206</v>
      </c>
      <c r="B117" s="182" t="s">
        <v>797</v>
      </c>
      <c r="C117" s="182" t="s">
        <v>185</v>
      </c>
      <c r="D117" s="182" t="s">
        <v>285</v>
      </c>
      <c r="E117" s="190" t="s">
        <v>326</v>
      </c>
      <c r="F117" s="193" t="s">
        <v>207</v>
      </c>
      <c r="G117" s="184">
        <f>100000+75000+52849</f>
        <v>227849</v>
      </c>
      <c r="H117" s="251"/>
      <c r="I117" s="184">
        <f t="shared" si="3"/>
        <v>227849</v>
      </c>
      <c r="J117" s="184">
        <f>100000+75000</f>
        <v>175000</v>
      </c>
      <c r="K117" s="251"/>
      <c r="L117" s="184">
        <f t="shared" si="4"/>
        <v>175000</v>
      </c>
      <c r="M117" s="184">
        <f>100000+75000</f>
        <v>175000</v>
      </c>
      <c r="N117" s="251"/>
      <c r="O117" s="184">
        <f t="shared" si="5"/>
        <v>175000</v>
      </c>
    </row>
    <row r="118" spans="1:15" ht="38.25" hidden="1">
      <c r="A118" s="209" t="s">
        <v>327</v>
      </c>
      <c r="B118" s="182" t="s">
        <v>797</v>
      </c>
      <c r="C118" s="182" t="s">
        <v>185</v>
      </c>
      <c r="D118" s="182" t="s">
        <v>285</v>
      </c>
      <c r="E118" s="182" t="s">
        <v>328</v>
      </c>
      <c r="F118" s="183"/>
      <c r="G118" s="184">
        <f>G119</f>
        <v>0</v>
      </c>
      <c r="H118" s="251"/>
      <c r="I118" s="184">
        <f t="shared" si="3"/>
        <v>0</v>
      </c>
      <c r="J118" s="184">
        <f>J119</f>
        <v>0</v>
      </c>
      <c r="K118" s="251"/>
      <c r="L118" s="184">
        <f t="shared" si="4"/>
        <v>0</v>
      </c>
      <c r="M118" s="184">
        <f>M119</f>
        <v>0</v>
      </c>
      <c r="N118" s="251"/>
      <c r="O118" s="184">
        <f t="shared" si="5"/>
        <v>0</v>
      </c>
    </row>
    <row r="119" spans="1:15" ht="51" hidden="1">
      <c r="A119" s="211" t="s">
        <v>329</v>
      </c>
      <c r="B119" s="182" t="s">
        <v>797</v>
      </c>
      <c r="C119" s="182" t="s">
        <v>185</v>
      </c>
      <c r="D119" s="182" t="s">
        <v>285</v>
      </c>
      <c r="E119" s="182" t="s">
        <v>330</v>
      </c>
      <c r="F119" s="183"/>
      <c r="G119" s="184">
        <f>G120</f>
        <v>0</v>
      </c>
      <c r="H119" s="251"/>
      <c r="I119" s="184">
        <f t="shared" si="3"/>
        <v>0</v>
      </c>
      <c r="J119" s="184">
        <f>J120</f>
        <v>0</v>
      </c>
      <c r="K119" s="251"/>
      <c r="L119" s="184">
        <f t="shared" si="4"/>
        <v>0</v>
      </c>
      <c r="M119" s="184">
        <f>M120</f>
        <v>0</v>
      </c>
      <c r="N119" s="251"/>
      <c r="O119" s="184">
        <f t="shared" si="5"/>
        <v>0</v>
      </c>
    </row>
    <row r="120" spans="1:15" ht="25.5" hidden="1">
      <c r="A120" s="213" t="s">
        <v>331</v>
      </c>
      <c r="B120" s="182" t="s">
        <v>797</v>
      </c>
      <c r="C120" s="182" t="s">
        <v>185</v>
      </c>
      <c r="D120" s="182" t="s">
        <v>285</v>
      </c>
      <c r="E120" s="182" t="s">
        <v>332</v>
      </c>
      <c r="F120" s="183"/>
      <c r="G120" s="184">
        <f>G121</f>
        <v>0</v>
      </c>
      <c r="H120" s="251"/>
      <c r="I120" s="184">
        <f t="shared" si="3"/>
        <v>0</v>
      </c>
      <c r="J120" s="184">
        <f>J121</f>
        <v>0</v>
      </c>
      <c r="K120" s="251"/>
      <c r="L120" s="184">
        <f t="shared" si="4"/>
        <v>0</v>
      </c>
      <c r="M120" s="184">
        <f>M121</f>
        <v>0</v>
      </c>
      <c r="N120" s="251"/>
      <c r="O120" s="184">
        <f t="shared" si="5"/>
        <v>0</v>
      </c>
    </row>
    <row r="121" spans="1:15" ht="25.5" hidden="1">
      <c r="A121" s="199" t="s">
        <v>333</v>
      </c>
      <c r="B121" s="182" t="s">
        <v>797</v>
      </c>
      <c r="C121" s="182" t="s">
        <v>185</v>
      </c>
      <c r="D121" s="182" t="s">
        <v>285</v>
      </c>
      <c r="E121" s="182" t="s">
        <v>334</v>
      </c>
      <c r="F121" s="183"/>
      <c r="G121" s="184">
        <f>G122</f>
        <v>0</v>
      </c>
      <c r="H121" s="251"/>
      <c r="I121" s="184">
        <f t="shared" si="3"/>
        <v>0</v>
      </c>
      <c r="J121" s="184">
        <f>J122</f>
        <v>0</v>
      </c>
      <c r="K121" s="251"/>
      <c r="L121" s="184">
        <f t="shared" si="4"/>
        <v>0</v>
      </c>
      <c r="M121" s="184">
        <f>M122</f>
        <v>0</v>
      </c>
      <c r="N121" s="251"/>
      <c r="O121" s="184">
        <f t="shared" si="5"/>
        <v>0</v>
      </c>
    </row>
    <row r="122" spans="1:15" ht="25.5" hidden="1">
      <c r="A122" s="192" t="s">
        <v>206</v>
      </c>
      <c r="B122" s="182" t="s">
        <v>797</v>
      </c>
      <c r="C122" s="182" t="s">
        <v>185</v>
      </c>
      <c r="D122" s="182" t="s">
        <v>285</v>
      </c>
      <c r="E122" s="182" t="s">
        <v>334</v>
      </c>
      <c r="F122" s="183" t="s">
        <v>207</v>
      </c>
      <c r="G122" s="184"/>
      <c r="H122" s="251"/>
      <c r="I122" s="184">
        <f t="shared" si="3"/>
        <v>0</v>
      </c>
      <c r="J122" s="184"/>
      <c r="K122" s="251"/>
      <c r="L122" s="184">
        <f t="shared" si="4"/>
        <v>0</v>
      </c>
      <c r="M122" s="184"/>
      <c r="N122" s="251"/>
      <c r="O122" s="184">
        <f t="shared" si="5"/>
        <v>0</v>
      </c>
    </row>
    <row r="123" spans="1:15" ht="41.25" customHeight="1">
      <c r="A123" s="199" t="s">
        <v>227</v>
      </c>
      <c r="B123" s="182" t="s">
        <v>797</v>
      </c>
      <c r="C123" s="182" t="s">
        <v>185</v>
      </c>
      <c r="D123" s="182" t="s">
        <v>285</v>
      </c>
      <c r="E123" s="190" t="s">
        <v>228</v>
      </c>
      <c r="F123" s="183"/>
      <c r="G123" s="184">
        <f>G124</f>
        <v>110000</v>
      </c>
      <c r="H123" s="251"/>
      <c r="I123" s="184">
        <f t="shared" si="3"/>
        <v>110000</v>
      </c>
      <c r="J123" s="184">
        <f>J124</f>
        <v>110000</v>
      </c>
      <c r="K123" s="251"/>
      <c r="L123" s="184">
        <f t="shared" si="4"/>
        <v>110000</v>
      </c>
      <c r="M123" s="184">
        <f>M124</f>
        <v>110000</v>
      </c>
      <c r="N123" s="251"/>
      <c r="O123" s="184">
        <f t="shared" si="5"/>
        <v>110000</v>
      </c>
    </row>
    <row r="124" spans="1:15" ht="57.75" customHeight="1">
      <c r="A124" s="214" t="s">
        <v>335</v>
      </c>
      <c r="B124" s="182" t="s">
        <v>797</v>
      </c>
      <c r="C124" s="182" t="s">
        <v>185</v>
      </c>
      <c r="D124" s="182" t="s">
        <v>285</v>
      </c>
      <c r="E124" s="190" t="s">
        <v>336</v>
      </c>
      <c r="F124" s="183"/>
      <c r="G124" s="184">
        <f>G125</f>
        <v>110000</v>
      </c>
      <c r="H124" s="251"/>
      <c r="I124" s="184">
        <f t="shared" si="3"/>
        <v>110000</v>
      </c>
      <c r="J124" s="184">
        <f>J125</f>
        <v>110000</v>
      </c>
      <c r="K124" s="251"/>
      <c r="L124" s="184">
        <f t="shared" si="4"/>
        <v>110000</v>
      </c>
      <c r="M124" s="184">
        <f>M125</f>
        <v>110000</v>
      </c>
      <c r="N124" s="251"/>
      <c r="O124" s="184">
        <f t="shared" si="5"/>
        <v>110000</v>
      </c>
    </row>
    <row r="125" spans="1:15" ht="25.5">
      <c r="A125" s="197" t="s">
        <v>337</v>
      </c>
      <c r="B125" s="182" t="s">
        <v>797</v>
      </c>
      <c r="C125" s="182" t="s">
        <v>185</v>
      </c>
      <c r="D125" s="182" t="s">
        <v>285</v>
      </c>
      <c r="E125" s="204" t="s">
        <v>338</v>
      </c>
      <c r="F125" s="183"/>
      <c r="G125" s="184">
        <f>G126+G128</f>
        <v>110000</v>
      </c>
      <c r="H125" s="251"/>
      <c r="I125" s="184">
        <f t="shared" si="3"/>
        <v>110000</v>
      </c>
      <c r="J125" s="184">
        <f>J126+J128</f>
        <v>110000</v>
      </c>
      <c r="K125" s="251"/>
      <c r="L125" s="184">
        <f t="shared" si="4"/>
        <v>110000</v>
      </c>
      <c r="M125" s="184">
        <f>M126+M128</f>
        <v>110000</v>
      </c>
      <c r="N125" s="251"/>
      <c r="O125" s="184">
        <f t="shared" si="5"/>
        <v>110000</v>
      </c>
    </row>
    <row r="126" spans="1:15" ht="30" customHeight="1">
      <c r="A126" s="192" t="s">
        <v>339</v>
      </c>
      <c r="B126" s="182" t="s">
        <v>797</v>
      </c>
      <c r="C126" s="182" t="s">
        <v>185</v>
      </c>
      <c r="D126" s="182" t="s">
        <v>285</v>
      </c>
      <c r="E126" s="204" t="s">
        <v>340</v>
      </c>
      <c r="F126" s="183"/>
      <c r="G126" s="184">
        <f>G127</f>
        <v>50000</v>
      </c>
      <c r="H126" s="251"/>
      <c r="I126" s="184">
        <f t="shared" si="3"/>
        <v>50000</v>
      </c>
      <c r="J126" s="184">
        <f>J127</f>
        <v>50000</v>
      </c>
      <c r="K126" s="251"/>
      <c r="L126" s="184">
        <f t="shared" si="4"/>
        <v>50000</v>
      </c>
      <c r="M126" s="184">
        <f>M127</f>
        <v>50000</v>
      </c>
      <c r="N126" s="251"/>
      <c r="O126" s="184">
        <f t="shared" si="5"/>
        <v>50000</v>
      </c>
    </row>
    <row r="127" spans="1:15" ht="16.5" customHeight="1">
      <c r="A127" s="192" t="s">
        <v>206</v>
      </c>
      <c r="B127" s="182" t="s">
        <v>797</v>
      </c>
      <c r="C127" s="182" t="s">
        <v>185</v>
      </c>
      <c r="D127" s="182" t="s">
        <v>285</v>
      </c>
      <c r="E127" s="204" t="s">
        <v>340</v>
      </c>
      <c r="F127" s="183" t="s">
        <v>207</v>
      </c>
      <c r="G127" s="184">
        <f>20000+30000</f>
        <v>50000</v>
      </c>
      <c r="H127" s="251"/>
      <c r="I127" s="184">
        <f t="shared" si="3"/>
        <v>50000</v>
      </c>
      <c r="J127" s="184">
        <f>20000+30000</f>
        <v>50000</v>
      </c>
      <c r="K127" s="251"/>
      <c r="L127" s="184">
        <f t="shared" si="4"/>
        <v>50000</v>
      </c>
      <c r="M127" s="184">
        <f>20000+30000</f>
        <v>50000</v>
      </c>
      <c r="N127" s="251"/>
      <c r="O127" s="184">
        <f t="shared" si="5"/>
        <v>50000</v>
      </c>
    </row>
    <row r="128" spans="1:15" ht="25.5">
      <c r="A128" s="192" t="s">
        <v>341</v>
      </c>
      <c r="B128" s="182" t="s">
        <v>797</v>
      </c>
      <c r="C128" s="182" t="s">
        <v>185</v>
      </c>
      <c r="D128" s="182" t="s">
        <v>285</v>
      </c>
      <c r="E128" s="204" t="s">
        <v>342</v>
      </c>
      <c r="F128" s="183"/>
      <c r="G128" s="184">
        <f>G129</f>
        <v>60000</v>
      </c>
      <c r="H128" s="251"/>
      <c r="I128" s="184">
        <f t="shared" si="3"/>
        <v>60000</v>
      </c>
      <c r="J128" s="184">
        <f>J129</f>
        <v>60000</v>
      </c>
      <c r="K128" s="251"/>
      <c r="L128" s="184">
        <f t="shared" si="4"/>
        <v>60000</v>
      </c>
      <c r="M128" s="184">
        <f>M129</f>
        <v>60000</v>
      </c>
      <c r="N128" s="251"/>
      <c r="O128" s="184">
        <f t="shared" si="5"/>
        <v>60000</v>
      </c>
    </row>
    <row r="129" spans="1:15" ht="18.75" customHeight="1">
      <c r="A129" s="192" t="s">
        <v>206</v>
      </c>
      <c r="B129" s="182" t="s">
        <v>797</v>
      </c>
      <c r="C129" s="182" t="s">
        <v>185</v>
      </c>
      <c r="D129" s="182" t="s">
        <v>285</v>
      </c>
      <c r="E129" s="204" t="s">
        <v>342</v>
      </c>
      <c r="F129" s="183" t="s">
        <v>207</v>
      </c>
      <c r="G129" s="184">
        <f>40000+20000</f>
        <v>60000</v>
      </c>
      <c r="H129" s="251"/>
      <c r="I129" s="184">
        <f t="shared" si="3"/>
        <v>60000</v>
      </c>
      <c r="J129" s="184">
        <f>40000+20000</f>
        <v>60000</v>
      </c>
      <c r="K129" s="251"/>
      <c r="L129" s="184">
        <f t="shared" si="4"/>
        <v>60000</v>
      </c>
      <c r="M129" s="184">
        <f>40000+20000</f>
        <v>60000</v>
      </c>
      <c r="N129" s="251"/>
      <c r="O129" s="184">
        <f t="shared" si="5"/>
        <v>60000</v>
      </c>
    </row>
    <row r="130" spans="1:15" ht="32.25" customHeight="1">
      <c r="A130" s="192" t="s">
        <v>343</v>
      </c>
      <c r="B130" s="182" t="s">
        <v>797</v>
      </c>
      <c r="C130" s="182" t="s">
        <v>185</v>
      </c>
      <c r="D130" s="182" t="s">
        <v>285</v>
      </c>
      <c r="E130" s="207" t="s">
        <v>344</v>
      </c>
      <c r="F130" s="183"/>
      <c r="G130" s="184">
        <f>G131+G135</f>
        <v>200000</v>
      </c>
      <c r="H130" s="251"/>
      <c r="I130" s="184">
        <f t="shared" si="3"/>
        <v>200000</v>
      </c>
      <c r="J130" s="184">
        <f>J131+J135</f>
        <v>200000</v>
      </c>
      <c r="K130" s="251"/>
      <c r="L130" s="184">
        <f t="shared" si="4"/>
        <v>200000</v>
      </c>
      <c r="M130" s="184">
        <f>M131+M135</f>
        <v>200000</v>
      </c>
      <c r="N130" s="251"/>
      <c r="O130" s="184">
        <f t="shared" si="5"/>
        <v>200000</v>
      </c>
    </row>
    <row r="131" spans="1:15" ht="51" customHeight="1" hidden="1">
      <c r="A131" s="200" t="s">
        <v>345</v>
      </c>
      <c r="B131" s="182" t="s">
        <v>797</v>
      </c>
      <c r="C131" s="182" t="s">
        <v>185</v>
      </c>
      <c r="D131" s="182" t="s">
        <v>285</v>
      </c>
      <c r="E131" s="207" t="s">
        <v>346</v>
      </c>
      <c r="F131" s="183"/>
      <c r="G131" s="184">
        <f>G132</f>
        <v>0</v>
      </c>
      <c r="H131" s="251"/>
      <c r="I131" s="184">
        <f t="shared" si="3"/>
        <v>0</v>
      </c>
      <c r="J131" s="184">
        <f>J132</f>
        <v>0</v>
      </c>
      <c r="K131" s="251"/>
      <c r="L131" s="184">
        <f t="shared" si="4"/>
        <v>0</v>
      </c>
      <c r="M131" s="184">
        <f>M132</f>
        <v>0</v>
      </c>
      <c r="N131" s="251"/>
      <c r="O131" s="184">
        <f t="shared" si="5"/>
        <v>0</v>
      </c>
    </row>
    <row r="132" spans="1:15" ht="15" hidden="1">
      <c r="A132" s="200" t="s">
        <v>347</v>
      </c>
      <c r="B132" s="182" t="s">
        <v>797</v>
      </c>
      <c r="C132" s="182" t="s">
        <v>185</v>
      </c>
      <c r="D132" s="182" t="s">
        <v>285</v>
      </c>
      <c r="E132" s="207" t="s">
        <v>348</v>
      </c>
      <c r="F132" s="183"/>
      <c r="G132" s="184">
        <f>G133</f>
        <v>0</v>
      </c>
      <c r="H132" s="251"/>
      <c r="I132" s="184">
        <f t="shared" si="3"/>
        <v>0</v>
      </c>
      <c r="J132" s="184">
        <f>J133</f>
        <v>0</v>
      </c>
      <c r="K132" s="251"/>
      <c r="L132" s="184">
        <f t="shared" si="4"/>
        <v>0</v>
      </c>
      <c r="M132" s="184">
        <f>M133</f>
        <v>0</v>
      </c>
      <c r="N132" s="251"/>
      <c r="O132" s="184">
        <f t="shared" si="5"/>
        <v>0</v>
      </c>
    </row>
    <row r="133" spans="1:15" ht="25.5" hidden="1">
      <c r="A133" s="192" t="s">
        <v>349</v>
      </c>
      <c r="B133" s="182" t="s">
        <v>797</v>
      </c>
      <c r="C133" s="182" t="s">
        <v>185</v>
      </c>
      <c r="D133" s="182" t="s">
        <v>285</v>
      </c>
      <c r="E133" s="207" t="s">
        <v>350</v>
      </c>
      <c r="F133" s="183"/>
      <c r="G133" s="184">
        <f>G134</f>
        <v>0</v>
      </c>
      <c r="H133" s="251"/>
      <c r="I133" s="184">
        <f t="shared" si="3"/>
        <v>0</v>
      </c>
      <c r="J133" s="184">
        <f>J134</f>
        <v>0</v>
      </c>
      <c r="K133" s="251"/>
      <c r="L133" s="184">
        <f t="shared" si="4"/>
        <v>0</v>
      </c>
      <c r="M133" s="184">
        <f>M134</f>
        <v>0</v>
      </c>
      <c r="N133" s="251"/>
      <c r="O133" s="184">
        <f t="shared" si="5"/>
        <v>0</v>
      </c>
    </row>
    <row r="134" spans="1:15" ht="25.5" hidden="1">
      <c r="A134" s="192" t="s">
        <v>206</v>
      </c>
      <c r="B134" s="182" t="s">
        <v>797</v>
      </c>
      <c r="C134" s="182" t="s">
        <v>185</v>
      </c>
      <c r="D134" s="182" t="s">
        <v>285</v>
      </c>
      <c r="E134" s="207" t="s">
        <v>350</v>
      </c>
      <c r="F134" s="183" t="s">
        <v>207</v>
      </c>
      <c r="G134" s="184">
        <f>15000-15000</f>
        <v>0</v>
      </c>
      <c r="H134" s="251"/>
      <c r="I134" s="184">
        <f t="shared" si="3"/>
        <v>0</v>
      </c>
      <c r="J134" s="184">
        <f>15000-15000</f>
        <v>0</v>
      </c>
      <c r="K134" s="251"/>
      <c r="L134" s="184">
        <f t="shared" si="4"/>
        <v>0</v>
      </c>
      <c r="M134" s="184">
        <f>15000-15000</f>
        <v>0</v>
      </c>
      <c r="N134" s="251"/>
      <c r="O134" s="184">
        <f t="shared" si="5"/>
        <v>0</v>
      </c>
    </row>
    <row r="135" spans="1:15" ht="42" customHeight="1">
      <c r="A135" s="200" t="s">
        <v>351</v>
      </c>
      <c r="B135" s="182" t="s">
        <v>797</v>
      </c>
      <c r="C135" s="182" t="s">
        <v>185</v>
      </c>
      <c r="D135" s="182" t="s">
        <v>285</v>
      </c>
      <c r="E135" s="207" t="s">
        <v>352</v>
      </c>
      <c r="F135" s="183"/>
      <c r="G135" s="184">
        <f>G136</f>
        <v>200000</v>
      </c>
      <c r="H135" s="251"/>
      <c r="I135" s="184">
        <f t="shared" si="3"/>
        <v>200000</v>
      </c>
      <c r="J135" s="184">
        <f>J136</f>
        <v>200000</v>
      </c>
      <c r="K135" s="251"/>
      <c r="L135" s="184">
        <f t="shared" si="4"/>
        <v>200000</v>
      </c>
      <c r="M135" s="184">
        <f>M136</f>
        <v>200000</v>
      </c>
      <c r="N135" s="251"/>
      <c r="O135" s="184">
        <f t="shared" si="5"/>
        <v>200000</v>
      </c>
    </row>
    <row r="136" spans="1:15" ht="15">
      <c r="A136" s="200" t="s">
        <v>353</v>
      </c>
      <c r="B136" s="182" t="s">
        <v>797</v>
      </c>
      <c r="C136" s="182" t="s">
        <v>185</v>
      </c>
      <c r="D136" s="182" t="s">
        <v>285</v>
      </c>
      <c r="E136" s="207" t="s">
        <v>354</v>
      </c>
      <c r="F136" s="183"/>
      <c r="G136" s="184">
        <f>G137</f>
        <v>200000</v>
      </c>
      <c r="H136" s="251"/>
      <c r="I136" s="184">
        <f t="shared" si="3"/>
        <v>200000</v>
      </c>
      <c r="J136" s="184">
        <f>J137</f>
        <v>200000</v>
      </c>
      <c r="K136" s="251"/>
      <c r="L136" s="184">
        <f t="shared" si="4"/>
        <v>200000</v>
      </c>
      <c r="M136" s="184">
        <f>M137</f>
        <v>200000</v>
      </c>
      <c r="N136" s="251"/>
      <c r="O136" s="184">
        <f t="shared" si="5"/>
        <v>200000</v>
      </c>
    </row>
    <row r="137" spans="1:15" ht="18.75" customHeight="1">
      <c r="A137" s="200" t="s">
        <v>355</v>
      </c>
      <c r="B137" s="182" t="s">
        <v>797</v>
      </c>
      <c r="C137" s="182" t="s">
        <v>185</v>
      </c>
      <c r="D137" s="182" t="s">
        <v>285</v>
      </c>
      <c r="E137" s="207" t="s">
        <v>356</v>
      </c>
      <c r="F137" s="183"/>
      <c r="G137" s="184">
        <f>G138</f>
        <v>200000</v>
      </c>
      <c r="H137" s="251"/>
      <c r="I137" s="184">
        <f t="shared" si="3"/>
        <v>200000</v>
      </c>
      <c r="J137" s="184">
        <f>J138</f>
        <v>200000</v>
      </c>
      <c r="K137" s="251"/>
      <c r="L137" s="184">
        <f t="shared" si="4"/>
        <v>200000</v>
      </c>
      <c r="M137" s="184">
        <f>M138</f>
        <v>200000</v>
      </c>
      <c r="N137" s="251"/>
      <c r="O137" s="184">
        <f t="shared" si="5"/>
        <v>200000</v>
      </c>
    </row>
    <row r="138" spans="1:15" ht="20.25" customHeight="1">
      <c r="A138" s="192" t="s">
        <v>206</v>
      </c>
      <c r="B138" s="182" t="s">
        <v>797</v>
      </c>
      <c r="C138" s="182" t="s">
        <v>185</v>
      </c>
      <c r="D138" s="182" t="s">
        <v>285</v>
      </c>
      <c r="E138" s="207" t="s">
        <v>356</v>
      </c>
      <c r="F138" s="183" t="s">
        <v>207</v>
      </c>
      <c r="G138" s="184">
        <f>200000</f>
        <v>200000</v>
      </c>
      <c r="H138" s="251"/>
      <c r="I138" s="184">
        <f t="shared" si="3"/>
        <v>200000</v>
      </c>
      <c r="J138" s="184">
        <f>200000</f>
        <v>200000</v>
      </c>
      <c r="K138" s="251"/>
      <c r="L138" s="184">
        <f t="shared" si="4"/>
        <v>200000</v>
      </c>
      <c r="M138" s="184">
        <f>200000</f>
        <v>200000</v>
      </c>
      <c r="N138" s="251"/>
      <c r="O138" s="184">
        <f t="shared" si="5"/>
        <v>200000</v>
      </c>
    </row>
    <row r="139" spans="1:15" ht="15.75" customHeight="1">
      <c r="A139" s="192" t="s">
        <v>237</v>
      </c>
      <c r="B139" s="182" t="s">
        <v>797</v>
      </c>
      <c r="C139" s="182" t="s">
        <v>185</v>
      </c>
      <c r="D139" s="182" t="s">
        <v>285</v>
      </c>
      <c r="E139" s="182" t="s">
        <v>238</v>
      </c>
      <c r="F139" s="210"/>
      <c r="G139" s="184">
        <f>G140</f>
        <v>410800</v>
      </c>
      <c r="H139" s="251"/>
      <c r="I139" s="184">
        <f aca="true" t="shared" si="6" ref="I139:I202">G139+H139</f>
        <v>410800</v>
      </c>
      <c r="J139" s="184">
        <f>J140</f>
        <v>0</v>
      </c>
      <c r="K139" s="251"/>
      <c r="L139" s="184">
        <f t="shared" si="4"/>
        <v>0</v>
      </c>
      <c r="M139" s="184">
        <f>M140</f>
        <v>0</v>
      </c>
      <c r="N139" s="251"/>
      <c r="O139" s="184">
        <f t="shared" si="5"/>
        <v>0</v>
      </c>
    </row>
    <row r="140" spans="1:15" ht="15">
      <c r="A140" s="191" t="s">
        <v>239</v>
      </c>
      <c r="B140" s="182" t="s">
        <v>797</v>
      </c>
      <c r="C140" s="182" t="s">
        <v>185</v>
      </c>
      <c r="D140" s="182" t="s">
        <v>285</v>
      </c>
      <c r="E140" s="182" t="s">
        <v>240</v>
      </c>
      <c r="F140" s="210"/>
      <c r="G140" s="184">
        <f>G141</f>
        <v>410800</v>
      </c>
      <c r="H140" s="251"/>
      <c r="I140" s="184">
        <f t="shared" si="6"/>
        <v>410800</v>
      </c>
      <c r="J140" s="184">
        <f>J141</f>
        <v>0</v>
      </c>
      <c r="K140" s="251"/>
      <c r="L140" s="184">
        <f t="shared" si="4"/>
        <v>0</v>
      </c>
      <c r="M140" s="184">
        <f>M141</f>
        <v>0</v>
      </c>
      <c r="N140" s="251"/>
      <c r="O140" s="184">
        <f t="shared" si="5"/>
        <v>0</v>
      </c>
    </row>
    <row r="141" spans="1:15" ht="25.5">
      <c r="A141" s="191" t="s">
        <v>357</v>
      </c>
      <c r="B141" s="182" t="s">
        <v>797</v>
      </c>
      <c r="C141" s="182" t="s">
        <v>185</v>
      </c>
      <c r="D141" s="182" t="s">
        <v>285</v>
      </c>
      <c r="E141" s="182" t="s">
        <v>358</v>
      </c>
      <c r="F141" s="210"/>
      <c r="G141" s="184">
        <f>G142+G143</f>
        <v>410800</v>
      </c>
      <c r="H141" s="251"/>
      <c r="I141" s="184">
        <f t="shared" si="6"/>
        <v>410800</v>
      </c>
      <c r="J141" s="184">
        <f>J142+J143</f>
        <v>0</v>
      </c>
      <c r="K141" s="251"/>
      <c r="L141" s="184">
        <f t="shared" si="4"/>
        <v>0</v>
      </c>
      <c r="M141" s="184">
        <f>M142+M143</f>
        <v>0</v>
      </c>
      <c r="N141" s="251"/>
      <c r="O141" s="184">
        <f t="shared" si="5"/>
        <v>0</v>
      </c>
    </row>
    <row r="142" spans="1:15" ht="48.75" customHeight="1">
      <c r="A142" s="192" t="s">
        <v>194</v>
      </c>
      <c r="B142" s="182" t="s">
        <v>797</v>
      </c>
      <c r="C142" s="182" t="s">
        <v>185</v>
      </c>
      <c r="D142" s="182" t="s">
        <v>285</v>
      </c>
      <c r="E142" s="182" t="s">
        <v>358</v>
      </c>
      <c r="F142" s="210" t="s">
        <v>195</v>
      </c>
      <c r="G142" s="184">
        <f>410800</f>
        <v>410800</v>
      </c>
      <c r="H142" s="251"/>
      <c r="I142" s="184">
        <f t="shared" si="6"/>
        <v>410800</v>
      </c>
      <c r="J142" s="184">
        <v>0</v>
      </c>
      <c r="K142" s="251"/>
      <c r="L142" s="184">
        <f t="shared" si="4"/>
        <v>0</v>
      </c>
      <c r="M142" s="184">
        <v>0</v>
      </c>
      <c r="N142" s="251"/>
      <c r="O142" s="184">
        <f t="shared" si="5"/>
        <v>0</v>
      </c>
    </row>
    <row r="143" spans="1:15" ht="25.5" hidden="1">
      <c r="A143" s="192" t="s">
        <v>206</v>
      </c>
      <c r="B143" s="182" t="s">
        <v>797</v>
      </c>
      <c r="C143" s="182" t="s">
        <v>185</v>
      </c>
      <c r="D143" s="182" t="s">
        <v>285</v>
      </c>
      <c r="E143" s="182" t="s">
        <v>358</v>
      </c>
      <c r="F143" s="210" t="s">
        <v>207</v>
      </c>
      <c r="G143" s="184"/>
      <c r="H143" s="251"/>
      <c r="I143" s="184">
        <f t="shared" si="6"/>
        <v>0</v>
      </c>
      <c r="J143" s="184"/>
      <c r="K143" s="251"/>
      <c r="L143" s="184">
        <f t="shared" si="4"/>
        <v>0</v>
      </c>
      <c r="M143" s="184"/>
      <c r="N143" s="251"/>
      <c r="O143" s="184">
        <f t="shared" si="5"/>
        <v>0</v>
      </c>
    </row>
    <row r="144" spans="1:15" ht="25.5">
      <c r="A144" s="192" t="s">
        <v>359</v>
      </c>
      <c r="B144" s="182" t="s">
        <v>797</v>
      </c>
      <c r="C144" s="182" t="s">
        <v>185</v>
      </c>
      <c r="D144" s="182" t="s">
        <v>285</v>
      </c>
      <c r="E144" s="190" t="s">
        <v>360</v>
      </c>
      <c r="F144" s="210"/>
      <c r="G144" s="184">
        <f>G145</f>
        <v>3336199</v>
      </c>
      <c r="H144" s="251"/>
      <c r="I144" s="184">
        <f t="shared" si="6"/>
        <v>3336199</v>
      </c>
      <c r="J144" s="184">
        <f>J145</f>
        <v>1112857</v>
      </c>
      <c r="K144" s="251"/>
      <c r="L144" s="184">
        <f t="shared" si="4"/>
        <v>1112857</v>
      </c>
      <c r="M144" s="184">
        <f>M145</f>
        <v>3704349</v>
      </c>
      <c r="N144" s="251"/>
      <c r="O144" s="184">
        <f t="shared" si="5"/>
        <v>3704349</v>
      </c>
    </row>
    <row r="145" spans="1:15" ht="17.25" customHeight="1">
      <c r="A145" s="192" t="s">
        <v>361</v>
      </c>
      <c r="B145" s="182" t="s">
        <v>797</v>
      </c>
      <c r="C145" s="182" t="s">
        <v>185</v>
      </c>
      <c r="D145" s="182" t="s">
        <v>285</v>
      </c>
      <c r="E145" s="190" t="s">
        <v>362</v>
      </c>
      <c r="F145" s="210"/>
      <c r="G145" s="184">
        <f>G146</f>
        <v>3336199</v>
      </c>
      <c r="H145" s="251"/>
      <c r="I145" s="184">
        <f t="shared" si="6"/>
        <v>3336199</v>
      </c>
      <c r="J145" s="184">
        <f>J146</f>
        <v>1112857</v>
      </c>
      <c r="K145" s="251"/>
      <c r="L145" s="184">
        <f t="shared" si="4"/>
        <v>1112857</v>
      </c>
      <c r="M145" s="184">
        <f>M146</f>
        <v>3704349</v>
      </c>
      <c r="N145" s="251"/>
      <c r="O145" s="184">
        <f t="shared" si="5"/>
        <v>3704349</v>
      </c>
    </row>
    <row r="146" spans="1:15" ht="17.25" customHeight="1">
      <c r="A146" s="199" t="s">
        <v>355</v>
      </c>
      <c r="B146" s="182" t="s">
        <v>797</v>
      </c>
      <c r="C146" s="182" t="s">
        <v>185</v>
      </c>
      <c r="D146" s="182" t="s">
        <v>285</v>
      </c>
      <c r="E146" s="190" t="s">
        <v>363</v>
      </c>
      <c r="F146" s="210"/>
      <c r="G146" s="184">
        <f>G147+G149+G148</f>
        <v>3336199</v>
      </c>
      <c r="H146" s="251"/>
      <c r="I146" s="184">
        <f t="shared" si="6"/>
        <v>3336199</v>
      </c>
      <c r="J146" s="184">
        <f>J147+J149+J148</f>
        <v>1112857</v>
      </c>
      <c r="K146" s="251"/>
      <c r="L146" s="184">
        <f t="shared" si="4"/>
        <v>1112857</v>
      </c>
      <c r="M146" s="184">
        <f>M147+M149+M148</f>
        <v>3704349</v>
      </c>
      <c r="N146" s="251"/>
      <c r="O146" s="184">
        <f t="shared" si="5"/>
        <v>3704349</v>
      </c>
    </row>
    <row r="147" spans="1:15" ht="17.25" customHeight="1">
      <c r="A147" s="192" t="s">
        <v>206</v>
      </c>
      <c r="B147" s="182" t="s">
        <v>797</v>
      </c>
      <c r="C147" s="182" t="s">
        <v>185</v>
      </c>
      <c r="D147" s="182" t="s">
        <v>285</v>
      </c>
      <c r="E147" s="190" t="s">
        <v>363</v>
      </c>
      <c r="F147" s="210" t="s">
        <v>207</v>
      </c>
      <c r="G147" s="184">
        <f>16561+320000+50000</f>
        <v>386561</v>
      </c>
      <c r="H147" s="251"/>
      <c r="I147" s="184">
        <f t="shared" si="6"/>
        <v>386561</v>
      </c>
      <c r="J147" s="184">
        <f>50000+118999-57642</f>
        <v>111357</v>
      </c>
      <c r="K147" s="251"/>
      <c r="L147" s="184">
        <f t="shared" si="4"/>
        <v>111357</v>
      </c>
      <c r="M147" s="184">
        <f>50000+110491-57642</f>
        <v>102849</v>
      </c>
      <c r="N147" s="251"/>
      <c r="O147" s="184">
        <f t="shared" si="5"/>
        <v>102849</v>
      </c>
    </row>
    <row r="148" spans="1:15" ht="21" customHeight="1" hidden="1">
      <c r="A148" s="220" t="s">
        <v>507</v>
      </c>
      <c r="B148" s="182" t="s">
        <v>797</v>
      </c>
      <c r="C148" s="182" t="s">
        <v>185</v>
      </c>
      <c r="D148" s="182" t="s">
        <v>285</v>
      </c>
      <c r="E148" s="190" t="s">
        <v>363</v>
      </c>
      <c r="F148" s="210" t="s">
        <v>508</v>
      </c>
      <c r="G148" s="184"/>
      <c r="H148" s="251"/>
      <c r="I148" s="184">
        <f t="shared" si="6"/>
        <v>0</v>
      </c>
      <c r="J148" s="184"/>
      <c r="K148" s="251"/>
      <c r="L148" s="184">
        <f t="shared" si="4"/>
        <v>0</v>
      </c>
      <c r="M148" s="184"/>
      <c r="N148" s="251"/>
      <c r="O148" s="184">
        <f t="shared" si="5"/>
        <v>0</v>
      </c>
    </row>
    <row r="149" spans="1:15" ht="17.25" customHeight="1">
      <c r="A149" s="199" t="s">
        <v>274</v>
      </c>
      <c r="B149" s="182" t="s">
        <v>797</v>
      </c>
      <c r="C149" s="182" t="s">
        <v>185</v>
      </c>
      <c r="D149" s="182" t="s">
        <v>285</v>
      </c>
      <c r="E149" s="190" t="s">
        <v>363</v>
      </c>
      <c r="F149" s="210" t="s">
        <v>275</v>
      </c>
      <c r="G149" s="184">
        <f>68138+8000000+1001500-6120000</f>
        <v>2949638</v>
      </c>
      <c r="H149" s="251"/>
      <c r="I149" s="184">
        <f t="shared" si="6"/>
        <v>2949638</v>
      </c>
      <c r="J149" s="184">
        <f>1001500</f>
        <v>1001500</v>
      </c>
      <c r="K149" s="251"/>
      <c r="L149" s="184">
        <f aca="true" t="shared" si="7" ref="L149:L196">J149+K149</f>
        <v>1001500</v>
      </c>
      <c r="M149" s="184">
        <f>1001500+2600000</f>
        <v>3601500</v>
      </c>
      <c r="N149" s="251"/>
      <c r="O149" s="184">
        <f aca="true" t="shared" si="8" ref="O149:O196">M149+N149</f>
        <v>3601500</v>
      </c>
    </row>
    <row r="150" spans="1:15" ht="15">
      <c r="A150" s="199" t="s">
        <v>246</v>
      </c>
      <c r="B150" s="182" t="s">
        <v>797</v>
      </c>
      <c r="C150" s="215" t="s">
        <v>185</v>
      </c>
      <c r="D150" s="182" t="s">
        <v>285</v>
      </c>
      <c r="E150" s="204" t="s">
        <v>247</v>
      </c>
      <c r="F150" s="193"/>
      <c r="G150" s="184">
        <f>G155+G151</f>
        <v>12877500</v>
      </c>
      <c r="H150" s="251"/>
      <c r="I150" s="184">
        <f t="shared" si="6"/>
        <v>12877500</v>
      </c>
      <c r="J150" s="184">
        <f>J155+J151</f>
        <v>11443533</v>
      </c>
      <c r="K150" s="251"/>
      <c r="L150" s="184">
        <f t="shared" si="7"/>
        <v>11443533</v>
      </c>
      <c r="M150" s="184">
        <f>M155+M151</f>
        <v>11625607</v>
      </c>
      <c r="N150" s="251"/>
      <c r="O150" s="184">
        <f t="shared" si="8"/>
        <v>11625607</v>
      </c>
    </row>
    <row r="151" spans="1:15" ht="15">
      <c r="A151" s="197" t="s">
        <v>248</v>
      </c>
      <c r="B151" s="182" t="s">
        <v>797</v>
      </c>
      <c r="C151" s="182" t="s">
        <v>185</v>
      </c>
      <c r="D151" s="182" t="s">
        <v>285</v>
      </c>
      <c r="E151" s="182" t="s">
        <v>249</v>
      </c>
      <c r="F151" s="183"/>
      <c r="G151" s="184">
        <f>G152</f>
        <v>1086000</v>
      </c>
      <c r="H151" s="251"/>
      <c r="I151" s="184">
        <f t="shared" si="6"/>
        <v>1086000</v>
      </c>
      <c r="J151" s="184">
        <f>J152</f>
        <v>1138000</v>
      </c>
      <c r="K151" s="251"/>
      <c r="L151" s="184">
        <f t="shared" si="7"/>
        <v>1138000</v>
      </c>
      <c r="M151" s="184">
        <f>M152</f>
        <v>1180000</v>
      </c>
      <c r="N151" s="251"/>
      <c r="O151" s="184">
        <f t="shared" si="8"/>
        <v>1180000</v>
      </c>
    </row>
    <row r="152" spans="1:15" ht="25.5">
      <c r="A152" s="191" t="s">
        <v>364</v>
      </c>
      <c r="B152" s="182" t="s">
        <v>797</v>
      </c>
      <c r="C152" s="182" t="s">
        <v>185</v>
      </c>
      <c r="D152" s="182" t="s">
        <v>285</v>
      </c>
      <c r="E152" s="207" t="s">
        <v>365</v>
      </c>
      <c r="F152" s="210"/>
      <c r="G152" s="184">
        <f>G153+G154</f>
        <v>1086000</v>
      </c>
      <c r="H152" s="251"/>
      <c r="I152" s="184">
        <f t="shared" si="6"/>
        <v>1086000</v>
      </c>
      <c r="J152" s="184">
        <f>J153+J154</f>
        <v>1138000</v>
      </c>
      <c r="K152" s="251"/>
      <c r="L152" s="184">
        <f t="shared" si="7"/>
        <v>1138000</v>
      </c>
      <c r="M152" s="184">
        <f>M153+M154</f>
        <v>1180000</v>
      </c>
      <c r="N152" s="251"/>
      <c r="O152" s="184">
        <f t="shared" si="8"/>
        <v>1180000</v>
      </c>
    </row>
    <row r="153" spans="1:15" ht="38.25">
      <c r="A153" s="192" t="s">
        <v>194</v>
      </c>
      <c r="B153" s="182" t="s">
        <v>797</v>
      </c>
      <c r="C153" s="182" t="s">
        <v>185</v>
      </c>
      <c r="D153" s="182" t="s">
        <v>285</v>
      </c>
      <c r="E153" s="207" t="s">
        <v>365</v>
      </c>
      <c r="F153" s="210" t="s">
        <v>195</v>
      </c>
      <c r="G153" s="184">
        <f>1086000-21400-100000</f>
        <v>964600</v>
      </c>
      <c r="H153" s="251"/>
      <c r="I153" s="184">
        <f t="shared" si="6"/>
        <v>964600</v>
      </c>
      <c r="J153" s="184">
        <f>1138000-73400-100000</f>
        <v>964600</v>
      </c>
      <c r="K153" s="251"/>
      <c r="L153" s="184">
        <f t="shared" si="7"/>
        <v>964600</v>
      </c>
      <c r="M153" s="184">
        <f>1180000-115400-100000</f>
        <v>964600</v>
      </c>
      <c r="N153" s="251"/>
      <c r="O153" s="184">
        <f t="shared" si="8"/>
        <v>964600</v>
      </c>
    </row>
    <row r="154" spans="1:15" ht="25.5">
      <c r="A154" s="192" t="s">
        <v>206</v>
      </c>
      <c r="B154" s="182" t="s">
        <v>797</v>
      </c>
      <c r="C154" s="182" t="s">
        <v>185</v>
      </c>
      <c r="D154" s="182" t="s">
        <v>285</v>
      </c>
      <c r="E154" s="207" t="s">
        <v>365</v>
      </c>
      <c r="F154" s="210" t="s">
        <v>207</v>
      </c>
      <c r="G154" s="184">
        <f>21400+100000</f>
        <v>121400</v>
      </c>
      <c r="H154" s="251"/>
      <c r="I154" s="184">
        <f t="shared" si="6"/>
        <v>121400</v>
      </c>
      <c r="J154" s="184">
        <f>73400+100000</f>
        <v>173400</v>
      </c>
      <c r="K154" s="251"/>
      <c r="L154" s="184">
        <f t="shared" si="7"/>
        <v>173400</v>
      </c>
      <c r="M154" s="184">
        <f>115400+100000</f>
        <v>215400</v>
      </c>
      <c r="N154" s="251"/>
      <c r="O154" s="184">
        <f t="shared" si="8"/>
        <v>215400</v>
      </c>
    </row>
    <row r="155" spans="1:15" ht="18" customHeight="1">
      <c r="A155" s="199" t="s">
        <v>253</v>
      </c>
      <c r="B155" s="182" t="s">
        <v>797</v>
      </c>
      <c r="C155" s="182" t="s">
        <v>185</v>
      </c>
      <c r="D155" s="182" t="s">
        <v>285</v>
      </c>
      <c r="E155" s="182" t="s">
        <v>254</v>
      </c>
      <c r="F155" s="183"/>
      <c r="G155" s="184">
        <f>G156+G160</f>
        <v>11791500</v>
      </c>
      <c r="H155" s="251"/>
      <c r="I155" s="184">
        <f t="shared" si="6"/>
        <v>11791500</v>
      </c>
      <c r="J155" s="184">
        <f>J156+J160</f>
        <v>10305533</v>
      </c>
      <c r="K155" s="251"/>
      <c r="L155" s="184">
        <f t="shared" si="7"/>
        <v>10305533</v>
      </c>
      <c r="M155" s="184">
        <f>M156+M160</f>
        <v>10445607</v>
      </c>
      <c r="N155" s="251"/>
      <c r="O155" s="184">
        <f t="shared" si="8"/>
        <v>10445607</v>
      </c>
    </row>
    <row r="156" spans="1:15" ht="18" customHeight="1">
      <c r="A156" s="199" t="s">
        <v>366</v>
      </c>
      <c r="B156" s="182" t="s">
        <v>797</v>
      </c>
      <c r="C156" s="182" t="s">
        <v>185</v>
      </c>
      <c r="D156" s="182" t="s">
        <v>285</v>
      </c>
      <c r="E156" s="182" t="s">
        <v>367</v>
      </c>
      <c r="F156" s="183"/>
      <c r="G156" s="184">
        <f>G157+G158+G159</f>
        <v>11541500</v>
      </c>
      <c r="H156" s="251"/>
      <c r="I156" s="184">
        <f t="shared" si="6"/>
        <v>11541500</v>
      </c>
      <c r="J156" s="184">
        <f>J157+J158+J159</f>
        <v>10055533</v>
      </c>
      <c r="K156" s="251"/>
      <c r="L156" s="184">
        <f t="shared" si="7"/>
        <v>10055533</v>
      </c>
      <c r="M156" s="184">
        <f>M157+M158+M159</f>
        <v>10195607</v>
      </c>
      <c r="N156" s="251"/>
      <c r="O156" s="184">
        <f t="shared" si="8"/>
        <v>10195607</v>
      </c>
    </row>
    <row r="157" spans="1:15" ht="43.5" customHeight="1">
      <c r="A157" s="192" t="s">
        <v>194</v>
      </c>
      <c r="B157" s="182" t="s">
        <v>797</v>
      </c>
      <c r="C157" s="182" t="s">
        <v>185</v>
      </c>
      <c r="D157" s="182" t="s">
        <v>285</v>
      </c>
      <c r="E157" s="182" t="s">
        <v>367</v>
      </c>
      <c r="F157" s="193" t="s">
        <v>195</v>
      </c>
      <c r="G157" s="184">
        <f>8443500</f>
        <v>8443500</v>
      </c>
      <c r="H157" s="251"/>
      <c r="I157" s="184">
        <f t="shared" si="6"/>
        <v>8443500</v>
      </c>
      <c r="J157" s="184">
        <f>6987533-30000</f>
        <v>6957533</v>
      </c>
      <c r="K157" s="251"/>
      <c r="L157" s="184">
        <f t="shared" si="7"/>
        <v>6957533</v>
      </c>
      <c r="M157" s="184">
        <f>7127607-30000</f>
        <v>7097607</v>
      </c>
      <c r="N157" s="251"/>
      <c r="O157" s="184">
        <f t="shared" si="8"/>
        <v>7097607</v>
      </c>
    </row>
    <row r="158" spans="1:15" ht="18" customHeight="1">
      <c r="A158" s="192" t="s">
        <v>206</v>
      </c>
      <c r="B158" s="182" t="s">
        <v>797</v>
      </c>
      <c r="C158" s="182" t="s">
        <v>185</v>
      </c>
      <c r="D158" s="182" t="s">
        <v>285</v>
      </c>
      <c r="E158" s="182" t="s">
        <v>367</v>
      </c>
      <c r="F158" s="193" t="s">
        <v>207</v>
      </c>
      <c r="G158" s="184">
        <f>3048000</f>
        <v>3048000</v>
      </c>
      <c r="H158" s="251"/>
      <c r="I158" s="184">
        <f t="shared" si="6"/>
        <v>3048000</v>
      </c>
      <c r="J158" s="184">
        <f>3048000</f>
        <v>3048000</v>
      </c>
      <c r="K158" s="251"/>
      <c r="L158" s="184">
        <f t="shared" si="7"/>
        <v>3048000</v>
      </c>
      <c r="M158" s="184">
        <f>3048000</f>
        <v>3048000</v>
      </c>
      <c r="N158" s="251"/>
      <c r="O158" s="184">
        <f t="shared" si="8"/>
        <v>3048000</v>
      </c>
    </row>
    <row r="159" spans="1:15" ht="15">
      <c r="A159" s="199" t="s">
        <v>274</v>
      </c>
      <c r="B159" s="182" t="s">
        <v>797</v>
      </c>
      <c r="C159" s="182" t="s">
        <v>185</v>
      </c>
      <c r="D159" s="182" t="s">
        <v>285</v>
      </c>
      <c r="E159" s="182" t="s">
        <v>367</v>
      </c>
      <c r="F159" s="193" t="s">
        <v>275</v>
      </c>
      <c r="G159" s="184">
        <f>50000</f>
        <v>50000</v>
      </c>
      <c r="H159" s="251"/>
      <c r="I159" s="184">
        <f t="shared" si="6"/>
        <v>50000</v>
      </c>
      <c r="J159" s="184">
        <f>50000</f>
        <v>50000</v>
      </c>
      <c r="K159" s="251"/>
      <c r="L159" s="184">
        <f t="shared" si="7"/>
        <v>50000</v>
      </c>
      <c r="M159" s="184">
        <f>50000</f>
        <v>50000</v>
      </c>
      <c r="N159" s="251"/>
      <c r="O159" s="184">
        <f t="shared" si="8"/>
        <v>50000</v>
      </c>
    </row>
    <row r="160" spans="1:15" ht="20.25" customHeight="1">
      <c r="A160" s="211" t="s">
        <v>368</v>
      </c>
      <c r="B160" s="182" t="s">
        <v>797</v>
      </c>
      <c r="C160" s="182" t="s">
        <v>185</v>
      </c>
      <c r="D160" s="182" t="s">
        <v>285</v>
      </c>
      <c r="E160" s="182" t="s">
        <v>369</v>
      </c>
      <c r="F160" s="193"/>
      <c r="G160" s="184">
        <f>G161</f>
        <v>250000</v>
      </c>
      <c r="H160" s="251"/>
      <c r="I160" s="184">
        <f t="shared" si="6"/>
        <v>250000</v>
      </c>
      <c r="J160" s="184">
        <f>J161</f>
        <v>250000</v>
      </c>
      <c r="K160" s="251"/>
      <c r="L160" s="184">
        <f t="shared" si="7"/>
        <v>250000</v>
      </c>
      <c r="M160" s="184">
        <f>M161</f>
        <v>250000</v>
      </c>
      <c r="N160" s="251"/>
      <c r="O160" s="184">
        <f t="shared" si="8"/>
        <v>250000</v>
      </c>
    </row>
    <row r="161" spans="1:15" ht="24.75" customHeight="1">
      <c r="A161" s="192" t="s">
        <v>206</v>
      </c>
      <c r="B161" s="182" t="s">
        <v>797</v>
      </c>
      <c r="C161" s="182" t="s">
        <v>185</v>
      </c>
      <c r="D161" s="182" t="s">
        <v>285</v>
      </c>
      <c r="E161" s="182" t="s">
        <v>369</v>
      </c>
      <c r="F161" s="193" t="s">
        <v>207</v>
      </c>
      <c r="G161" s="184">
        <f>100000+150000</f>
        <v>250000</v>
      </c>
      <c r="H161" s="251"/>
      <c r="I161" s="184">
        <f t="shared" si="6"/>
        <v>250000</v>
      </c>
      <c r="J161" s="184">
        <f>100000+150000</f>
        <v>250000</v>
      </c>
      <c r="K161" s="251"/>
      <c r="L161" s="184">
        <f t="shared" si="7"/>
        <v>250000</v>
      </c>
      <c r="M161" s="184">
        <f>100000+150000</f>
        <v>250000</v>
      </c>
      <c r="N161" s="251"/>
      <c r="O161" s="184">
        <f t="shared" si="8"/>
        <v>250000</v>
      </c>
    </row>
    <row r="162" spans="1:15" ht="15" hidden="1">
      <c r="A162" s="192" t="s">
        <v>278</v>
      </c>
      <c r="B162" s="182" t="s">
        <v>797</v>
      </c>
      <c r="C162" s="182" t="s">
        <v>185</v>
      </c>
      <c r="D162" s="182" t="s">
        <v>285</v>
      </c>
      <c r="E162" s="190" t="s">
        <v>279</v>
      </c>
      <c r="F162" s="193"/>
      <c r="G162" s="184">
        <f>G163</f>
        <v>0</v>
      </c>
      <c r="H162" s="251"/>
      <c r="I162" s="184">
        <f t="shared" si="6"/>
        <v>0</v>
      </c>
      <c r="J162" s="184">
        <f>J163</f>
        <v>0</v>
      </c>
      <c r="K162" s="251"/>
      <c r="L162" s="184">
        <f t="shared" si="7"/>
        <v>0</v>
      </c>
      <c r="M162" s="184">
        <f>M163</f>
        <v>0</v>
      </c>
      <c r="N162" s="251"/>
      <c r="O162" s="184">
        <f t="shared" si="8"/>
        <v>0</v>
      </c>
    </row>
    <row r="163" spans="1:15" ht="15" hidden="1">
      <c r="A163" s="192" t="s">
        <v>276</v>
      </c>
      <c r="B163" s="182" t="s">
        <v>797</v>
      </c>
      <c r="C163" s="182" t="s">
        <v>185</v>
      </c>
      <c r="D163" s="182" t="s">
        <v>285</v>
      </c>
      <c r="E163" s="190" t="s">
        <v>281</v>
      </c>
      <c r="F163" s="193"/>
      <c r="G163" s="184">
        <f>G164</f>
        <v>0</v>
      </c>
      <c r="H163" s="251"/>
      <c r="I163" s="184">
        <f t="shared" si="6"/>
        <v>0</v>
      </c>
      <c r="J163" s="184">
        <f>J164</f>
        <v>0</v>
      </c>
      <c r="K163" s="251"/>
      <c r="L163" s="184">
        <f t="shared" si="7"/>
        <v>0</v>
      </c>
      <c r="M163" s="184">
        <f>M164</f>
        <v>0</v>
      </c>
      <c r="N163" s="251"/>
      <c r="O163" s="184">
        <f t="shared" si="8"/>
        <v>0</v>
      </c>
    </row>
    <row r="164" spans="1:15" ht="15" hidden="1">
      <c r="A164" s="191" t="s">
        <v>282</v>
      </c>
      <c r="B164" s="182" t="s">
        <v>797</v>
      </c>
      <c r="C164" s="182" t="s">
        <v>185</v>
      </c>
      <c r="D164" s="182" t="s">
        <v>285</v>
      </c>
      <c r="E164" s="190" t="s">
        <v>283</v>
      </c>
      <c r="F164" s="193"/>
      <c r="G164" s="184">
        <f>G165</f>
        <v>0</v>
      </c>
      <c r="H164" s="251"/>
      <c r="I164" s="184">
        <f t="shared" si="6"/>
        <v>0</v>
      </c>
      <c r="J164" s="184">
        <f>J165</f>
        <v>0</v>
      </c>
      <c r="K164" s="251"/>
      <c r="L164" s="184">
        <f t="shared" si="7"/>
        <v>0</v>
      </c>
      <c r="M164" s="184">
        <f>M165</f>
        <v>0</v>
      </c>
      <c r="N164" s="251"/>
      <c r="O164" s="184">
        <f t="shared" si="8"/>
        <v>0</v>
      </c>
    </row>
    <row r="165" spans="1:15" ht="15" hidden="1">
      <c r="A165" s="199" t="s">
        <v>244</v>
      </c>
      <c r="B165" s="182" t="s">
        <v>797</v>
      </c>
      <c r="C165" s="182" t="s">
        <v>185</v>
      </c>
      <c r="D165" s="182" t="s">
        <v>285</v>
      </c>
      <c r="E165" s="190" t="s">
        <v>283</v>
      </c>
      <c r="F165" s="193" t="s">
        <v>245</v>
      </c>
      <c r="G165" s="184"/>
      <c r="H165" s="251"/>
      <c r="I165" s="184">
        <f t="shared" si="6"/>
        <v>0</v>
      </c>
      <c r="J165" s="184"/>
      <c r="K165" s="251"/>
      <c r="L165" s="184">
        <f t="shared" si="7"/>
        <v>0</v>
      </c>
      <c r="M165" s="184"/>
      <c r="N165" s="251"/>
      <c r="O165" s="184">
        <f t="shared" si="8"/>
        <v>0</v>
      </c>
    </row>
    <row r="166" spans="1:15" ht="29.25" customHeight="1">
      <c r="A166" s="192" t="s">
        <v>370</v>
      </c>
      <c r="B166" s="182" t="s">
        <v>797</v>
      </c>
      <c r="C166" s="182" t="s">
        <v>185</v>
      </c>
      <c r="D166" s="182" t="s">
        <v>285</v>
      </c>
      <c r="E166" s="204" t="s">
        <v>371</v>
      </c>
      <c r="F166" s="193"/>
      <c r="G166" s="184">
        <f>G167</f>
        <v>9408000</v>
      </c>
      <c r="H166" s="251"/>
      <c r="I166" s="184">
        <f t="shared" si="6"/>
        <v>9408000</v>
      </c>
      <c r="J166" s="184">
        <f>J167</f>
        <v>7852278</v>
      </c>
      <c r="K166" s="251"/>
      <c r="L166" s="184">
        <f t="shared" si="7"/>
        <v>7852278</v>
      </c>
      <c r="M166" s="184">
        <f>M167</f>
        <v>8001950</v>
      </c>
      <c r="N166" s="251"/>
      <c r="O166" s="184">
        <f t="shared" si="8"/>
        <v>8001950</v>
      </c>
    </row>
    <row r="167" spans="1:15" ht="25.5">
      <c r="A167" s="199" t="s">
        <v>372</v>
      </c>
      <c r="B167" s="182" t="s">
        <v>797</v>
      </c>
      <c r="C167" s="182" t="s">
        <v>185</v>
      </c>
      <c r="D167" s="182" t="s">
        <v>285</v>
      </c>
      <c r="E167" s="204" t="s">
        <v>373</v>
      </c>
      <c r="F167" s="193"/>
      <c r="G167" s="184">
        <f>G168</f>
        <v>9408000</v>
      </c>
      <c r="H167" s="251"/>
      <c r="I167" s="184">
        <f t="shared" si="6"/>
        <v>9408000</v>
      </c>
      <c r="J167" s="184">
        <f>J168</f>
        <v>7852278</v>
      </c>
      <c r="K167" s="251"/>
      <c r="L167" s="184">
        <f t="shared" si="7"/>
        <v>7852278</v>
      </c>
      <c r="M167" s="184">
        <f>M168</f>
        <v>8001950</v>
      </c>
      <c r="N167" s="251"/>
      <c r="O167" s="184">
        <f t="shared" si="8"/>
        <v>8001950</v>
      </c>
    </row>
    <row r="168" spans="1:15" ht="15">
      <c r="A168" s="199" t="s">
        <v>366</v>
      </c>
      <c r="B168" s="182" t="s">
        <v>797</v>
      </c>
      <c r="C168" s="182" t="s">
        <v>185</v>
      </c>
      <c r="D168" s="182" t="s">
        <v>285</v>
      </c>
      <c r="E168" s="204" t="s">
        <v>374</v>
      </c>
      <c r="F168" s="193"/>
      <c r="G168" s="184">
        <f>G169+G170+G171</f>
        <v>9408000</v>
      </c>
      <c r="H168" s="251"/>
      <c r="I168" s="184">
        <f t="shared" si="6"/>
        <v>9408000</v>
      </c>
      <c r="J168" s="184">
        <f>J169+J170+J171</f>
        <v>7852278</v>
      </c>
      <c r="K168" s="251"/>
      <c r="L168" s="184">
        <f t="shared" si="7"/>
        <v>7852278</v>
      </c>
      <c r="M168" s="184">
        <f>M169+M170+M171</f>
        <v>8001950</v>
      </c>
      <c r="N168" s="251"/>
      <c r="O168" s="184">
        <f t="shared" si="8"/>
        <v>8001950</v>
      </c>
    </row>
    <row r="169" spans="1:15" ht="38.25">
      <c r="A169" s="192" t="s">
        <v>194</v>
      </c>
      <c r="B169" s="182" t="s">
        <v>797</v>
      </c>
      <c r="C169" s="182" t="s">
        <v>185</v>
      </c>
      <c r="D169" s="182" t="s">
        <v>285</v>
      </c>
      <c r="E169" s="204" t="s">
        <v>374</v>
      </c>
      <c r="F169" s="193" t="s">
        <v>195</v>
      </c>
      <c r="G169" s="184">
        <f>9022000</f>
        <v>9022000</v>
      </c>
      <c r="H169" s="251"/>
      <c r="I169" s="184">
        <f t="shared" si="6"/>
        <v>9022000</v>
      </c>
      <c r="J169" s="184">
        <v>7466278</v>
      </c>
      <c r="K169" s="251"/>
      <c r="L169" s="184">
        <f t="shared" si="7"/>
        <v>7466278</v>
      </c>
      <c r="M169" s="184">
        <v>7615950</v>
      </c>
      <c r="N169" s="251"/>
      <c r="O169" s="184">
        <f t="shared" si="8"/>
        <v>7615950</v>
      </c>
    </row>
    <row r="170" spans="1:15" ht="24.75" customHeight="1">
      <c r="A170" s="192" t="s">
        <v>206</v>
      </c>
      <c r="B170" s="182" t="s">
        <v>797</v>
      </c>
      <c r="C170" s="182" t="s">
        <v>185</v>
      </c>
      <c r="D170" s="182" t="s">
        <v>285</v>
      </c>
      <c r="E170" s="204" t="s">
        <v>374</v>
      </c>
      <c r="F170" s="193" t="s">
        <v>207</v>
      </c>
      <c r="G170" s="184">
        <f>481000-95000</f>
        <v>386000</v>
      </c>
      <c r="H170" s="251"/>
      <c r="I170" s="184">
        <f t="shared" si="6"/>
        <v>386000</v>
      </c>
      <c r="J170" s="184">
        <f>481000-95000</f>
        <v>386000</v>
      </c>
      <c r="K170" s="251"/>
      <c r="L170" s="184">
        <f t="shared" si="7"/>
        <v>386000</v>
      </c>
      <c r="M170" s="184">
        <f>481000-95000</f>
        <v>386000</v>
      </c>
      <c r="N170" s="251"/>
      <c r="O170" s="184">
        <f t="shared" si="8"/>
        <v>386000</v>
      </c>
    </row>
    <row r="171" spans="1:15" ht="15" hidden="1">
      <c r="A171" s="192" t="s">
        <v>274</v>
      </c>
      <c r="B171" s="182" t="s">
        <v>797</v>
      </c>
      <c r="C171" s="182" t="s">
        <v>185</v>
      </c>
      <c r="D171" s="182" t="s">
        <v>285</v>
      </c>
      <c r="E171" s="204" t="s">
        <v>374</v>
      </c>
      <c r="F171" s="193" t="s">
        <v>275</v>
      </c>
      <c r="G171" s="184">
        <v>0</v>
      </c>
      <c r="H171" s="251"/>
      <c r="I171" s="184">
        <f t="shared" si="6"/>
        <v>0</v>
      </c>
      <c r="J171" s="184">
        <v>0</v>
      </c>
      <c r="K171" s="251"/>
      <c r="L171" s="184">
        <f t="shared" si="7"/>
        <v>0</v>
      </c>
      <c r="M171" s="184">
        <v>0</v>
      </c>
      <c r="N171" s="251"/>
      <c r="O171" s="184">
        <f t="shared" si="8"/>
        <v>0</v>
      </c>
    </row>
    <row r="172" spans="1:15" ht="21.75" customHeight="1">
      <c r="A172" s="199" t="s">
        <v>375</v>
      </c>
      <c r="B172" s="182" t="s">
        <v>797</v>
      </c>
      <c r="C172" s="182" t="s">
        <v>197</v>
      </c>
      <c r="D172" s="182" t="s">
        <v>376</v>
      </c>
      <c r="E172" s="204"/>
      <c r="F172" s="193"/>
      <c r="G172" s="184">
        <f>G173</f>
        <v>1625000</v>
      </c>
      <c r="H172" s="251"/>
      <c r="I172" s="184">
        <f t="shared" si="6"/>
        <v>1625000</v>
      </c>
      <c r="J172" s="184">
        <f>J173</f>
        <v>1625000</v>
      </c>
      <c r="K172" s="251"/>
      <c r="L172" s="184">
        <f t="shared" si="7"/>
        <v>1625000</v>
      </c>
      <c r="M172" s="184">
        <f>M173</f>
        <v>1625000</v>
      </c>
      <c r="N172" s="251"/>
      <c r="O172" s="184">
        <f t="shared" si="8"/>
        <v>1625000</v>
      </c>
    </row>
    <row r="173" spans="1:15" ht="28.5" customHeight="1">
      <c r="A173" s="199" t="s">
        <v>377</v>
      </c>
      <c r="B173" s="182" t="s">
        <v>797</v>
      </c>
      <c r="C173" s="182" t="s">
        <v>197</v>
      </c>
      <c r="D173" s="182" t="s">
        <v>378</v>
      </c>
      <c r="E173" s="204"/>
      <c r="F173" s="193"/>
      <c r="G173" s="184">
        <f>G174</f>
        <v>1625000</v>
      </c>
      <c r="H173" s="251"/>
      <c r="I173" s="184">
        <f t="shared" si="6"/>
        <v>1625000</v>
      </c>
      <c r="J173" s="184">
        <f>J174</f>
        <v>1625000</v>
      </c>
      <c r="K173" s="251"/>
      <c r="L173" s="184">
        <f t="shared" si="7"/>
        <v>1625000</v>
      </c>
      <c r="M173" s="184">
        <f>M174</f>
        <v>1625000</v>
      </c>
      <c r="N173" s="251"/>
      <c r="O173" s="184">
        <f t="shared" si="8"/>
        <v>1625000</v>
      </c>
    </row>
    <row r="174" spans="1:15" ht="45" customHeight="1">
      <c r="A174" s="197" t="s">
        <v>379</v>
      </c>
      <c r="B174" s="182" t="s">
        <v>797</v>
      </c>
      <c r="C174" s="182" t="s">
        <v>197</v>
      </c>
      <c r="D174" s="182" t="s">
        <v>378</v>
      </c>
      <c r="E174" s="207" t="s">
        <v>380</v>
      </c>
      <c r="F174" s="193"/>
      <c r="G174" s="184">
        <f>G175</f>
        <v>1625000</v>
      </c>
      <c r="H174" s="251"/>
      <c r="I174" s="184">
        <f t="shared" si="6"/>
        <v>1625000</v>
      </c>
      <c r="J174" s="184">
        <f>J175</f>
        <v>1625000</v>
      </c>
      <c r="K174" s="251"/>
      <c r="L174" s="184">
        <f t="shared" si="7"/>
        <v>1625000</v>
      </c>
      <c r="M174" s="184">
        <f>M175</f>
        <v>1625000</v>
      </c>
      <c r="N174" s="251"/>
      <c r="O174" s="184">
        <f t="shared" si="8"/>
        <v>1625000</v>
      </c>
    </row>
    <row r="175" spans="1:15" ht="73.5" customHeight="1">
      <c r="A175" s="200" t="s">
        <v>381</v>
      </c>
      <c r="B175" s="182" t="s">
        <v>797</v>
      </c>
      <c r="C175" s="182" t="s">
        <v>197</v>
      </c>
      <c r="D175" s="182" t="s">
        <v>378</v>
      </c>
      <c r="E175" s="207" t="s">
        <v>382</v>
      </c>
      <c r="F175" s="193"/>
      <c r="G175" s="184">
        <f>G176+G179+G182</f>
        <v>1625000</v>
      </c>
      <c r="H175" s="251"/>
      <c r="I175" s="184">
        <f t="shared" si="6"/>
        <v>1625000</v>
      </c>
      <c r="J175" s="184">
        <f>J176+J179+J182</f>
        <v>1625000</v>
      </c>
      <c r="K175" s="251"/>
      <c r="L175" s="184">
        <f t="shared" si="7"/>
        <v>1625000</v>
      </c>
      <c r="M175" s="184">
        <f>M176+M179+M182</f>
        <v>1625000</v>
      </c>
      <c r="N175" s="251"/>
      <c r="O175" s="184">
        <f t="shared" si="8"/>
        <v>1625000</v>
      </c>
    </row>
    <row r="176" spans="1:15" ht="25.5" hidden="1">
      <c r="A176" s="200" t="s">
        <v>383</v>
      </c>
      <c r="B176" s="182" t="s">
        <v>797</v>
      </c>
      <c r="C176" s="182" t="s">
        <v>197</v>
      </c>
      <c r="D176" s="182" t="s">
        <v>378</v>
      </c>
      <c r="E176" s="207" t="s">
        <v>384</v>
      </c>
      <c r="F176" s="193"/>
      <c r="G176" s="184">
        <f>G177</f>
        <v>0</v>
      </c>
      <c r="H176" s="251"/>
      <c r="I176" s="184">
        <f t="shared" si="6"/>
        <v>0</v>
      </c>
      <c r="J176" s="184">
        <f>J177</f>
        <v>0</v>
      </c>
      <c r="K176" s="251"/>
      <c r="L176" s="184">
        <f t="shared" si="7"/>
        <v>0</v>
      </c>
      <c r="M176" s="184">
        <f>M177</f>
        <v>0</v>
      </c>
      <c r="N176" s="251"/>
      <c r="O176" s="184">
        <f t="shared" si="8"/>
        <v>0</v>
      </c>
    </row>
    <row r="177" spans="1:15" ht="25.5" hidden="1">
      <c r="A177" s="192" t="s">
        <v>385</v>
      </c>
      <c r="B177" s="182" t="s">
        <v>797</v>
      </c>
      <c r="C177" s="182" t="s">
        <v>197</v>
      </c>
      <c r="D177" s="182" t="s">
        <v>378</v>
      </c>
      <c r="E177" s="207" t="s">
        <v>386</v>
      </c>
      <c r="F177" s="193"/>
      <c r="G177" s="184">
        <f>G178</f>
        <v>0</v>
      </c>
      <c r="H177" s="251"/>
      <c r="I177" s="184">
        <f t="shared" si="6"/>
        <v>0</v>
      </c>
      <c r="J177" s="184">
        <f>J178</f>
        <v>0</v>
      </c>
      <c r="K177" s="251"/>
      <c r="L177" s="184">
        <f t="shared" si="7"/>
        <v>0</v>
      </c>
      <c r="M177" s="184">
        <f>M178</f>
        <v>0</v>
      </c>
      <c r="N177" s="251"/>
      <c r="O177" s="184">
        <f t="shared" si="8"/>
        <v>0</v>
      </c>
    </row>
    <row r="178" spans="1:15" ht="25.5" hidden="1">
      <c r="A178" s="192" t="s">
        <v>206</v>
      </c>
      <c r="B178" s="182" t="s">
        <v>797</v>
      </c>
      <c r="C178" s="182" t="s">
        <v>197</v>
      </c>
      <c r="D178" s="182" t="s">
        <v>378</v>
      </c>
      <c r="E178" s="207" t="s">
        <v>386</v>
      </c>
      <c r="F178" s="193" t="s">
        <v>207</v>
      </c>
      <c r="G178" s="184"/>
      <c r="H178" s="251"/>
      <c r="I178" s="184">
        <f t="shared" si="6"/>
        <v>0</v>
      </c>
      <c r="J178" s="184"/>
      <c r="K178" s="251"/>
      <c r="L178" s="184">
        <f t="shared" si="7"/>
        <v>0</v>
      </c>
      <c r="M178" s="184"/>
      <c r="N178" s="251"/>
      <c r="O178" s="184">
        <f t="shared" si="8"/>
        <v>0</v>
      </c>
    </row>
    <row r="179" spans="1:15" ht="53.25" customHeight="1">
      <c r="A179" s="196" t="s">
        <v>387</v>
      </c>
      <c r="B179" s="182" t="s">
        <v>797</v>
      </c>
      <c r="C179" s="182" t="s">
        <v>197</v>
      </c>
      <c r="D179" s="182" t="s">
        <v>378</v>
      </c>
      <c r="E179" s="207" t="s">
        <v>388</v>
      </c>
      <c r="F179" s="193"/>
      <c r="G179" s="184">
        <f>G180</f>
        <v>51000</v>
      </c>
      <c r="H179" s="251"/>
      <c r="I179" s="184">
        <f t="shared" si="6"/>
        <v>51000</v>
      </c>
      <c r="J179" s="184">
        <f>J180</f>
        <v>51000</v>
      </c>
      <c r="K179" s="251"/>
      <c r="L179" s="184">
        <f t="shared" si="7"/>
        <v>51000</v>
      </c>
      <c r="M179" s="184">
        <f>M180</f>
        <v>51000</v>
      </c>
      <c r="N179" s="251"/>
      <c r="O179" s="184">
        <f t="shared" si="8"/>
        <v>51000</v>
      </c>
    </row>
    <row r="180" spans="1:15" ht="30.75" customHeight="1">
      <c r="A180" s="192" t="s">
        <v>385</v>
      </c>
      <c r="B180" s="182" t="s">
        <v>797</v>
      </c>
      <c r="C180" s="182" t="s">
        <v>197</v>
      </c>
      <c r="D180" s="182" t="s">
        <v>378</v>
      </c>
      <c r="E180" s="207" t="s">
        <v>389</v>
      </c>
      <c r="F180" s="193"/>
      <c r="G180" s="184">
        <f>G181</f>
        <v>51000</v>
      </c>
      <c r="H180" s="251"/>
      <c r="I180" s="184">
        <f t="shared" si="6"/>
        <v>51000</v>
      </c>
      <c r="J180" s="184">
        <f>J181</f>
        <v>51000</v>
      </c>
      <c r="K180" s="251"/>
      <c r="L180" s="184">
        <f t="shared" si="7"/>
        <v>51000</v>
      </c>
      <c r="M180" s="184">
        <f>M181</f>
        <v>51000</v>
      </c>
      <c r="N180" s="251"/>
      <c r="O180" s="184">
        <f t="shared" si="8"/>
        <v>51000</v>
      </c>
    </row>
    <row r="181" spans="1:15" ht="18.75" customHeight="1">
      <c r="A181" s="192" t="s">
        <v>206</v>
      </c>
      <c r="B181" s="182" t="s">
        <v>797</v>
      </c>
      <c r="C181" s="182" t="s">
        <v>197</v>
      </c>
      <c r="D181" s="182" t="s">
        <v>378</v>
      </c>
      <c r="E181" s="207" t="s">
        <v>389</v>
      </c>
      <c r="F181" s="193" t="s">
        <v>207</v>
      </c>
      <c r="G181" s="184">
        <v>51000</v>
      </c>
      <c r="H181" s="251"/>
      <c r="I181" s="184">
        <f t="shared" si="6"/>
        <v>51000</v>
      </c>
      <c r="J181" s="184">
        <v>51000</v>
      </c>
      <c r="K181" s="251"/>
      <c r="L181" s="184">
        <f t="shared" si="7"/>
        <v>51000</v>
      </c>
      <c r="M181" s="184">
        <v>51000</v>
      </c>
      <c r="N181" s="251"/>
      <c r="O181" s="184">
        <f t="shared" si="8"/>
        <v>51000</v>
      </c>
    </row>
    <row r="182" spans="1:15" ht="48.75" customHeight="1">
      <c r="A182" s="196" t="s">
        <v>390</v>
      </c>
      <c r="B182" s="182" t="s">
        <v>797</v>
      </c>
      <c r="C182" s="182" t="s">
        <v>197</v>
      </c>
      <c r="D182" s="182" t="s">
        <v>378</v>
      </c>
      <c r="E182" s="207" t="s">
        <v>391</v>
      </c>
      <c r="F182" s="193"/>
      <c r="G182" s="184">
        <f>G187+G183+G185</f>
        <v>1574000</v>
      </c>
      <c r="H182" s="251"/>
      <c r="I182" s="184">
        <f t="shared" si="6"/>
        <v>1574000</v>
      </c>
      <c r="J182" s="184">
        <f>J187+J184+J186</f>
        <v>1574000</v>
      </c>
      <c r="K182" s="251"/>
      <c r="L182" s="184">
        <f t="shared" si="7"/>
        <v>1574000</v>
      </c>
      <c r="M182" s="184">
        <f>M187+M184+M186</f>
        <v>1574000</v>
      </c>
      <c r="N182" s="251"/>
      <c r="O182" s="184">
        <f t="shared" si="8"/>
        <v>1574000</v>
      </c>
    </row>
    <row r="183" spans="1:15" ht="37.5" customHeight="1" hidden="1">
      <c r="A183" s="196" t="s">
        <v>392</v>
      </c>
      <c r="B183" s="182" t="s">
        <v>797</v>
      </c>
      <c r="C183" s="182" t="s">
        <v>197</v>
      </c>
      <c r="D183" s="182" t="s">
        <v>378</v>
      </c>
      <c r="E183" s="207" t="s">
        <v>393</v>
      </c>
      <c r="F183" s="193"/>
      <c r="G183" s="184">
        <f>G184</f>
        <v>0</v>
      </c>
      <c r="H183" s="251"/>
      <c r="I183" s="184">
        <f t="shared" si="6"/>
        <v>0</v>
      </c>
      <c r="J183" s="184"/>
      <c r="K183" s="251"/>
      <c r="L183" s="184">
        <f>J183+K183</f>
        <v>0</v>
      </c>
      <c r="M183" s="184"/>
      <c r="N183" s="251"/>
      <c r="O183" s="184">
        <f t="shared" si="8"/>
        <v>0</v>
      </c>
    </row>
    <row r="184" spans="1:15" ht="28.5" customHeight="1" hidden="1">
      <c r="A184" s="192" t="s">
        <v>206</v>
      </c>
      <c r="B184" s="182" t="s">
        <v>797</v>
      </c>
      <c r="C184" s="182" t="s">
        <v>197</v>
      </c>
      <c r="D184" s="182" t="s">
        <v>378</v>
      </c>
      <c r="E184" s="207" t="s">
        <v>393</v>
      </c>
      <c r="F184" s="193" t="s">
        <v>207</v>
      </c>
      <c r="G184" s="184"/>
      <c r="H184" s="251"/>
      <c r="I184" s="184">
        <f t="shared" si="6"/>
        <v>0</v>
      </c>
      <c r="J184" s="184"/>
      <c r="K184" s="251"/>
      <c r="L184" s="184">
        <f t="shared" si="7"/>
        <v>0</v>
      </c>
      <c r="M184" s="184"/>
      <c r="N184" s="251"/>
      <c r="O184" s="184">
        <f t="shared" si="8"/>
        <v>0</v>
      </c>
    </row>
    <row r="185" spans="1:15" ht="37.5" customHeight="1" hidden="1">
      <c r="A185" s="196" t="s">
        <v>394</v>
      </c>
      <c r="B185" s="182" t="s">
        <v>797</v>
      </c>
      <c r="C185" s="182" t="s">
        <v>197</v>
      </c>
      <c r="D185" s="182" t="s">
        <v>378</v>
      </c>
      <c r="E185" s="207" t="s">
        <v>395</v>
      </c>
      <c r="F185" s="193"/>
      <c r="G185" s="184">
        <f>G186</f>
        <v>0</v>
      </c>
      <c r="H185" s="251"/>
      <c r="I185" s="184">
        <f t="shared" si="6"/>
        <v>0</v>
      </c>
      <c r="J185" s="184"/>
      <c r="K185" s="251"/>
      <c r="L185" s="184">
        <f t="shared" si="7"/>
        <v>0</v>
      </c>
      <c r="M185" s="184"/>
      <c r="N185" s="251"/>
      <c r="O185" s="184">
        <f t="shared" si="8"/>
        <v>0</v>
      </c>
    </row>
    <row r="186" spans="1:15" ht="30" customHeight="1" hidden="1">
      <c r="A186" s="192" t="s">
        <v>206</v>
      </c>
      <c r="B186" s="182" t="s">
        <v>797</v>
      </c>
      <c r="C186" s="182" t="s">
        <v>197</v>
      </c>
      <c r="D186" s="182" t="s">
        <v>378</v>
      </c>
      <c r="E186" s="207" t="s">
        <v>395</v>
      </c>
      <c r="F186" s="193" t="s">
        <v>207</v>
      </c>
      <c r="G186" s="184"/>
      <c r="H186" s="251"/>
      <c r="I186" s="184">
        <f t="shared" si="6"/>
        <v>0</v>
      </c>
      <c r="J186" s="184"/>
      <c r="K186" s="251"/>
      <c r="L186" s="184">
        <f t="shared" si="7"/>
        <v>0</v>
      </c>
      <c r="M186" s="184"/>
      <c r="N186" s="251"/>
      <c r="O186" s="184">
        <f t="shared" si="8"/>
        <v>0</v>
      </c>
    </row>
    <row r="187" spans="1:15" ht="33.75" customHeight="1">
      <c r="A187" s="192" t="s">
        <v>385</v>
      </c>
      <c r="B187" s="182" t="s">
        <v>797</v>
      </c>
      <c r="C187" s="182" t="s">
        <v>197</v>
      </c>
      <c r="D187" s="182" t="s">
        <v>378</v>
      </c>
      <c r="E187" s="207" t="s">
        <v>396</v>
      </c>
      <c r="F187" s="193"/>
      <c r="G187" s="184">
        <f>G188</f>
        <v>1574000</v>
      </c>
      <c r="H187" s="251"/>
      <c r="I187" s="184">
        <f t="shared" si="6"/>
        <v>1574000</v>
      </c>
      <c r="J187" s="184">
        <f>J188</f>
        <v>1574000</v>
      </c>
      <c r="K187" s="251"/>
      <c r="L187" s="184">
        <f t="shared" si="7"/>
        <v>1574000</v>
      </c>
      <c r="M187" s="184">
        <f>M188</f>
        <v>1574000</v>
      </c>
      <c r="N187" s="251"/>
      <c r="O187" s="184">
        <f t="shared" si="8"/>
        <v>1574000</v>
      </c>
    </row>
    <row r="188" spans="1:15" ht="18.75" customHeight="1">
      <c r="A188" s="192" t="s">
        <v>206</v>
      </c>
      <c r="B188" s="182" t="s">
        <v>797</v>
      </c>
      <c r="C188" s="182" t="s">
        <v>197</v>
      </c>
      <c r="D188" s="182" t="s">
        <v>378</v>
      </c>
      <c r="E188" s="207" t="s">
        <v>396</v>
      </c>
      <c r="F188" s="193" t="s">
        <v>207</v>
      </c>
      <c r="G188" s="184">
        <f>1574000</f>
        <v>1574000</v>
      </c>
      <c r="H188" s="251"/>
      <c r="I188" s="184">
        <f t="shared" si="6"/>
        <v>1574000</v>
      </c>
      <c r="J188" s="184">
        <f>1574000</f>
        <v>1574000</v>
      </c>
      <c r="K188" s="251"/>
      <c r="L188" s="184">
        <f t="shared" si="7"/>
        <v>1574000</v>
      </c>
      <c r="M188" s="184">
        <f>1574000</f>
        <v>1574000</v>
      </c>
      <c r="N188" s="251"/>
      <c r="O188" s="184">
        <f t="shared" si="8"/>
        <v>1574000</v>
      </c>
    </row>
    <row r="189" spans="1:15" ht="15.75" customHeight="1">
      <c r="A189" s="199" t="s">
        <v>397</v>
      </c>
      <c r="B189" s="182" t="s">
        <v>797</v>
      </c>
      <c r="C189" s="182" t="s">
        <v>210</v>
      </c>
      <c r="D189" s="182"/>
      <c r="E189" s="182"/>
      <c r="F189" s="183"/>
      <c r="G189" s="184">
        <f>G190+G197+G227</f>
        <v>47900370</v>
      </c>
      <c r="H189" s="184">
        <f>H190+H197+H227</f>
        <v>0</v>
      </c>
      <c r="I189" s="184">
        <f t="shared" si="6"/>
        <v>47900370</v>
      </c>
      <c r="J189" s="184">
        <f>J190+J197+J227</f>
        <v>31689593</v>
      </c>
      <c r="K189" s="184">
        <f>K190+K197+K227</f>
        <v>0</v>
      </c>
      <c r="L189" s="184">
        <f t="shared" si="7"/>
        <v>31689593</v>
      </c>
      <c r="M189" s="184">
        <f>M190+M197+M227</f>
        <v>10761172</v>
      </c>
      <c r="N189" s="184">
        <f>N190+N197+N227</f>
        <v>0</v>
      </c>
      <c r="O189" s="184">
        <f t="shared" si="8"/>
        <v>10761172</v>
      </c>
    </row>
    <row r="190" spans="1:15" ht="15">
      <c r="A190" s="199" t="s">
        <v>398</v>
      </c>
      <c r="B190" s="182" t="s">
        <v>797</v>
      </c>
      <c r="C190" s="182" t="s">
        <v>210</v>
      </c>
      <c r="D190" s="182" t="s">
        <v>399</v>
      </c>
      <c r="E190" s="182"/>
      <c r="F190" s="183"/>
      <c r="G190" s="184">
        <f>G191</f>
        <v>2518000</v>
      </c>
      <c r="H190" s="251"/>
      <c r="I190" s="184">
        <f t="shared" si="6"/>
        <v>2518000</v>
      </c>
      <c r="J190" s="184">
        <f>J191</f>
        <v>2518000</v>
      </c>
      <c r="K190" s="251"/>
      <c r="L190" s="184">
        <f t="shared" si="7"/>
        <v>2518000</v>
      </c>
      <c r="M190" s="184">
        <f>M191</f>
        <v>2518000</v>
      </c>
      <c r="N190" s="251"/>
      <c r="O190" s="184">
        <f t="shared" si="8"/>
        <v>2518000</v>
      </c>
    </row>
    <row r="191" spans="1:17" ht="41.25" customHeight="1">
      <c r="A191" s="209" t="s">
        <v>327</v>
      </c>
      <c r="B191" s="182" t="s">
        <v>797</v>
      </c>
      <c r="C191" s="182" t="s">
        <v>210</v>
      </c>
      <c r="D191" s="182" t="s">
        <v>399</v>
      </c>
      <c r="E191" s="207" t="s">
        <v>328</v>
      </c>
      <c r="F191" s="183"/>
      <c r="G191" s="184">
        <f>G192</f>
        <v>2518000</v>
      </c>
      <c r="H191" s="251"/>
      <c r="I191" s="184">
        <f t="shared" si="6"/>
        <v>2518000</v>
      </c>
      <c r="J191" s="184">
        <f>J192</f>
        <v>2518000</v>
      </c>
      <c r="K191" s="251"/>
      <c r="L191" s="184">
        <f t="shared" si="7"/>
        <v>2518000</v>
      </c>
      <c r="M191" s="184">
        <f>M192</f>
        <v>2518000</v>
      </c>
      <c r="N191" s="251"/>
      <c r="O191" s="184">
        <f t="shared" si="8"/>
        <v>2518000</v>
      </c>
      <c r="Q191" s="185"/>
    </row>
    <row r="192" spans="1:15" ht="56.25" customHeight="1">
      <c r="A192" s="211" t="s">
        <v>400</v>
      </c>
      <c r="B192" s="182" t="s">
        <v>797</v>
      </c>
      <c r="C192" s="182" t="s">
        <v>210</v>
      </c>
      <c r="D192" s="182" t="s">
        <v>399</v>
      </c>
      <c r="E192" s="207" t="s">
        <v>401</v>
      </c>
      <c r="F192" s="183"/>
      <c r="G192" s="184">
        <f>G193</f>
        <v>2518000</v>
      </c>
      <c r="H192" s="251"/>
      <c r="I192" s="184">
        <f t="shared" si="6"/>
        <v>2518000</v>
      </c>
      <c r="J192" s="184">
        <f>J193</f>
        <v>2518000</v>
      </c>
      <c r="K192" s="251"/>
      <c r="L192" s="184">
        <f t="shared" si="7"/>
        <v>2518000</v>
      </c>
      <c r="M192" s="184">
        <f>M193</f>
        <v>2518000</v>
      </c>
      <c r="N192" s="251"/>
      <c r="O192" s="184">
        <f t="shared" si="8"/>
        <v>2518000</v>
      </c>
    </row>
    <row r="193" spans="1:15" ht="27.75" customHeight="1">
      <c r="A193" s="199" t="s">
        <v>402</v>
      </c>
      <c r="B193" s="182" t="s">
        <v>797</v>
      </c>
      <c r="C193" s="182" t="s">
        <v>210</v>
      </c>
      <c r="D193" s="182" t="s">
        <v>399</v>
      </c>
      <c r="E193" s="207" t="s">
        <v>403</v>
      </c>
      <c r="F193" s="183"/>
      <c r="G193" s="184">
        <f>G194</f>
        <v>2518000</v>
      </c>
      <c r="H193" s="251"/>
      <c r="I193" s="184">
        <f t="shared" si="6"/>
        <v>2518000</v>
      </c>
      <c r="J193" s="184">
        <f>J194</f>
        <v>2518000</v>
      </c>
      <c r="K193" s="251"/>
      <c r="L193" s="184">
        <f t="shared" si="7"/>
        <v>2518000</v>
      </c>
      <c r="M193" s="184">
        <f>M194</f>
        <v>2518000</v>
      </c>
      <c r="N193" s="251"/>
      <c r="O193" s="184">
        <f t="shared" si="8"/>
        <v>2518000</v>
      </c>
    </row>
    <row r="194" spans="1:15" ht="15" customHeight="1">
      <c r="A194" s="199" t="s">
        <v>404</v>
      </c>
      <c r="B194" s="182" t="s">
        <v>797</v>
      </c>
      <c r="C194" s="182" t="s">
        <v>210</v>
      </c>
      <c r="D194" s="182" t="s">
        <v>399</v>
      </c>
      <c r="E194" s="207" t="s">
        <v>405</v>
      </c>
      <c r="F194" s="183"/>
      <c r="G194" s="184">
        <f>G196+G195</f>
        <v>2518000</v>
      </c>
      <c r="H194" s="251"/>
      <c r="I194" s="184">
        <f t="shared" si="6"/>
        <v>2518000</v>
      </c>
      <c r="J194" s="184">
        <f>J196+J195</f>
        <v>2518000</v>
      </c>
      <c r="K194" s="251"/>
      <c r="L194" s="184">
        <f t="shared" si="7"/>
        <v>2518000</v>
      </c>
      <c r="M194" s="184">
        <f>M196+M195</f>
        <v>2518000</v>
      </c>
      <c r="N194" s="251"/>
      <c r="O194" s="184">
        <f t="shared" si="8"/>
        <v>2518000</v>
      </c>
    </row>
    <row r="195" spans="1:15" ht="25.5">
      <c r="A195" s="192" t="s">
        <v>206</v>
      </c>
      <c r="B195" s="182" t="s">
        <v>797</v>
      </c>
      <c r="C195" s="182" t="s">
        <v>210</v>
      </c>
      <c r="D195" s="182" t="s">
        <v>399</v>
      </c>
      <c r="E195" s="207" t="s">
        <v>405</v>
      </c>
      <c r="F195" s="183" t="s">
        <v>207</v>
      </c>
      <c r="G195" s="184">
        <f>2518000</f>
        <v>2518000</v>
      </c>
      <c r="H195" s="251"/>
      <c r="I195" s="184">
        <f t="shared" si="6"/>
        <v>2518000</v>
      </c>
      <c r="J195" s="184">
        <f>2518000</f>
        <v>2518000</v>
      </c>
      <c r="K195" s="251"/>
      <c r="L195" s="184">
        <f t="shared" si="7"/>
        <v>2518000</v>
      </c>
      <c r="M195" s="184">
        <f>2518000</f>
        <v>2518000</v>
      </c>
      <c r="N195" s="251"/>
      <c r="O195" s="184">
        <f t="shared" si="8"/>
        <v>2518000</v>
      </c>
    </row>
    <row r="196" spans="1:15" ht="15" hidden="1">
      <c r="A196" s="192" t="s">
        <v>274</v>
      </c>
      <c r="B196" s="182" t="s">
        <v>797</v>
      </c>
      <c r="C196" s="182" t="s">
        <v>210</v>
      </c>
      <c r="D196" s="182" t="s">
        <v>399</v>
      </c>
      <c r="E196" s="207" t="s">
        <v>405</v>
      </c>
      <c r="F196" s="183" t="s">
        <v>275</v>
      </c>
      <c r="G196" s="184"/>
      <c r="H196" s="251"/>
      <c r="I196" s="184">
        <f t="shared" si="6"/>
        <v>0</v>
      </c>
      <c r="J196" s="184"/>
      <c r="K196" s="251"/>
      <c r="L196" s="184">
        <f t="shared" si="7"/>
        <v>0</v>
      </c>
      <c r="M196" s="184"/>
      <c r="N196" s="251"/>
      <c r="O196" s="184">
        <f t="shared" si="8"/>
        <v>0</v>
      </c>
    </row>
    <row r="197" spans="1:15" ht="15">
      <c r="A197" s="199" t="s">
        <v>406</v>
      </c>
      <c r="B197" s="182" t="s">
        <v>797</v>
      </c>
      <c r="C197" s="182" t="s">
        <v>210</v>
      </c>
      <c r="D197" s="182" t="s">
        <v>407</v>
      </c>
      <c r="E197" s="182"/>
      <c r="F197" s="183"/>
      <c r="G197" s="184">
        <f>G198</f>
        <v>44006047</v>
      </c>
      <c r="H197" s="184">
        <f>H198</f>
        <v>0</v>
      </c>
      <c r="I197" s="184">
        <f t="shared" si="6"/>
        <v>44006047</v>
      </c>
      <c r="J197" s="184">
        <f>J198</f>
        <v>27856812</v>
      </c>
      <c r="K197" s="184">
        <f>K198</f>
        <v>0</v>
      </c>
      <c r="L197" s="184">
        <f>J197+K197</f>
        <v>27856812</v>
      </c>
      <c r="M197" s="184">
        <f>M198</f>
        <v>7258768</v>
      </c>
      <c r="N197" s="184">
        <f>N198</f>
        <v>0</v>
      </c>
      <c r="O197" s="184">
        <f>M197+N197</f>
        <v>7258768</v>
      </c>
    </row>
    <row r="198" spans="1:15" ht="44.25" customHeight="1">
      <c r="A198" s="209" t="s">
        <v>327</v>
      </c>
      <c r="B198" s="182" t="s">
        <v>797</v>
      </c>
      <c r="C198" s="182" t="s">
        <v>210</v>
      </c>
      <c r="D198" s="182" t="s">
        <v>407</v>
      </c>
      <c r="E198" s="207" t="s">
        <v>328</v>
      </c>
      <c r="F198" s="183"/>
      <c r="G198" s="184">
        <f>G199</f>
        <v>44006047</v>
      </c>
      <c r="H198" s="184">
        <f>H199</f>
        <v>0</v>
      </c>
      <c r="I198" s="184">
        <f t="shared" si="6"/>
        <v>44006047</v>
      </c>
      <c r="J198" s="184">
        <f>J199</f>
        <v>27856812</v>
      </c>
      <c r="K198" s="184">
        <f>K199</f>
        <v>0</v>
      </c>
      <c r="L198" s="184">
        <f>J198+K198</f>
        <v>27856812</v>
      </c>
      <c r="M198" s="184">
        <f>M199</f>
        <v>7258768</v>
      </c>
      <c r="N198" s="184">
        <f>N199</f>
        <v>0</v>
      </c>
      <c r="O198" s="184">
        <f>M198+N198</f>
        <v>7258768</v>
      </c>
    </row>
    <row r="199" spans="1:15" ht="58.5" customHeight="1">
      <c r="A199" s="211" t="s">
        <v>408</v>
      </c>
      <c r="B199" s="182" t="s">
        <v>797</v>
      </c>
      <c r="C199" s="182" t="s">
        <v>210</v>
      </c>
      <c r="D199" s="182" t="s">
        <v>407</v>
      </c>
      <c r="E199" s="207" t="s">
        <v>409</v>
      </c>
      <c r="F199" s="183"/>
      <c r="G199" s="184">
        <f>G200+G214</f>
        <v>44006047</v>
      </c>
      <c r="H199" s="184">
        <f>H200+H214</f>
        <v>0</v>
      </c>
      <c r="I199" s="184">
        <f t="shared" si="6"/>
        <v>44006047</v>
      </c>
      <c r="J199" s="184">
        <f>J200+J214</f>
        <v>27856812</v>
      </c>
      <c r="K199" s="184">
        <f>K200+K214</f>
        <v>0</v>
      </c>
      <c r="L199" s="184">
        <f>J199+K199</f>
        <v>27856812</v>
      </c>
      <c r="M199" s="184">
        <f>M200+M214</f>
        <v>7258768</v>
      </c>
      <c r="N199" s="184">
        <f>N200+N214</f>
        <v>0</v>
      </c>
      <c r="O199" s="184">
        <f>M199+N199</f>
        <v>7258768</v>
      </c>
    </row>
    <row r="200" spans="1:15" ht="30" customHeight="1">
      <c r="A200" s="199" t="s">
        <v>410</v>
      </c>
      <c r="B200" s="182" t="s">
        <v>797</v>
      </c>
      <c r="C200" s="182" t="s">
        <v>210</v>
      </c>
      <c r="D200" s="182" t="s">
        <v>407</v>
      </c>
      <c r="E200" s="207" t="s">
        <v>411</v>
      </c>
      <c r="F200" s="183"/>
      <c r="G200" s="184">
        <f>G203+G206+G211+G201+G209</f>
        <v>1580432</v>
      </c>
      <c r="H200" s="184">
        <f>H203+H206+H211+H201+H209</f>
        <v>0</v>
      </c>
      <c r="I200" s="184">
        <f t="shared" si="6"/>
        <v>1580432</v>
      </c>
      <c r="J200" s="184">
        <f>J203+J206+J211+J201+J209</f>
        <v>2343944</v>
      </c>
      <c r="K200" s="184">
        <f>K203+K206+K211+K201+K209</f>
        <v>0</v>
      </c>
      <c r="L200" s="184">
        <f aca="true" t="shared" si="9" ref="L200:L236">J200+K200</f>
        <v>2343944</v>
      </c>
      <c r="M200" s="184">
        <f>M203+M206+M211+M201+M209</f>
        <v>2758768</v>
      </c>
      <c r="N200" s="184">
        <f>N203+N206+N211+N201+N209</f>
        <v>0</v>
      </c>
      <c r="O200" s="184">
        <f aca="true" t="shared" si="10" ref="O200:O236">M200+N200</f>
        <v>2758768</v>
      </c>
    </row>
    <row r="201" spans="1:15" ht="25.5" hidden="1">
      <c r="A201" s="199" t="s">
        <v>412</v>
      </c>
      <c r="B201" s="182" t="s">
        <v>797</v>
      </c>
      <c r="C201" s="182" t="s">
        <v>210</v>
      </c>
      <c r="D201" s="182" t="s">
        <v>407</v>
      </c>
      <c r="E201" s="207" t="s">
        <v>413</v>
      </c>
      <c r="F201" s="183"/>
      <c r="G201" s="184">
        <f>G202</f>
        <v>0</v>
      </c>
      <c r="H201" s="251"/>
      <c r="I201" s="184">
        <f t="shared" si="6"/>
        <v>0</v>
      </c>
      <c r="J201" s="184">
        <f>J202</f>
        <v>0</v>
      </c>
      <c r="K201" s="251"/>
      <c r="L201" s="184">
        <f t="shared" si="9"/>
        <v>0</v>
      </c>
      <c r="M201" s="184">
        <f>M202</f>
        <v>0</v>
      </c>
      <c r="N201" s="251"/>
      <c r="O201" s="184">
        <f t="shared" si="10"/>
        <v>0</v>
      </c>
    </row>
    <row r="202" spans="1:15" ht="15" hidden="1">
      <c r="A202" s="192" t="s">
        <v>252</v>
      </c>
      <c r="B202" s="182" t="s">
        <v>797</v>
      </c>
      <c r="C202" s="182" t="s">
        <v>210</v>
      </c>
      <c r="D202" s="182" t="s">
        <v>407</v>
      </c>
      <c r="E202" s="207" t="s">
        <v>413</v>
      </c>
      <c r="F202" s="183" t="s">
        <v>207</v>
      </c>
      <c r="G202" s="184"/>
      <c r="H202" s="251"/>
      <c r="I202" s="184">
        <f t="shared" si="6"/>
        <v>0</v>
      </c>
      <c r="J202" s="184"/>
      <c r="K202" s="251"/>
      <c r="L202" s="184">
        <f t="shared" si="9"/>
        <v>0</v>
      </c>
      <c r="M202" s="184"/>
      <c r="N202" s="251"/>
      <c r="O202" s="184">
        <f t="shared" si="10"/>
        <v>0</v>
      </c>
    </row>
    <row r="203" spans="1:15" ht="15" hidden="1">
      <c r="A203" s="192" t="s">
        <v>414</v>
      </c>
      <c r="B203" s="182" t="s">
        <v>797</v>
      </c>
      <c r="C203" s="182" t="s">
        <v>210</v>
      </c>
      <c r="D203" s="182" t="s">
        <v>407</v>
      </c>
      <c r="E203" s="207" t="s">
        <v>415</v>
      </c>
      <c r="F203" s="183"/>
      <c r="G203" s="184">
        <f>G204</f>
        <v>0</v>
      </c>
      <c r="H203" s="251"/>
      <c r="I203" s="184">
        <f aca="true" t="shared" si="11" ref="I203:I266">G203+H203</f>
        <v>0</v>
      </c>
      <c r="J203" s="184">
        <f>J204</f>
        <v>0</v>
      </c>
      <c r="K203" s="251"/>
      <c r="L203" s="184">
        <f t="shared" si="9"/>
        <v>0</v>
      </c>
      <c r="M203" s="184">
        <f>M204</f>
        <v>0</v>
      </c>
      <c r="N203" s="251"/>
      <c r="O203" s="184">
        <f t="shared" si="10"/>
        <v>0</v>
      </c>
    </row>
    <row r="204" spans="1:15" ht="25.5" hidden="1">
      <c r="A204" s="217" t="s">
        <v>416</v>
      </c>
      <c r="B204" s="182" t="s">
        <v>797</v>
      </c>
      <c r="C204" s="182" t="s">
        <v>210</v>
      </c>
      <c r="D204" s="182" t="s">
        <v>407</v>
      </c>
      <c r="E204" s="207" t="s">
        <v>417</v>
      </c>
      <c r="F204" s="183"/>
      <c r="G204" s="184">
        <f>G205</f>
        <v>0</v>
      </c>
      <c r="H204" s="251"/>
      <c r="I204" s="184">
        <f t="shared" si="11"/>
        <v>0</v>
      </c>
      <c r="J204" s="184">
        <f>J205</f>
        <v>0</v>
      </c>
      <c r="K204" s="251"/>
      <c r="L204" s="184">
        <f t="shared" si="9"/>
        <v>0</v>
      </c>
      <c r="M204" s="184">
        <f>M205</f>
        <v>0</v>
      </c>
      <c r="N204" s="251"/>
      <c r="O204" s="184">
        <f t="shared" si="10"/>
        <v>0</v>
      </c>
    </row>
    <row r="205" spans="1:15" ht="15" hidden="1">
      <c r="A205" s="192" t="s">
        <v>252</v>
      </c>
      <c r="B205" s="182" t="s">
        <v>797</v>
      </c>
      <c r="C205" s="182" t="s">
        <v>210</v>
      </c>
      <c r="D205" s="182" t="s">
        <v>407</v>
      </c>
      <c r="E205" s="207" t="s">
        <v>417</v>
      </c>
      <c r="F205" s="183" t="s">
        <v>207</v>
      </c>
      <c r="G205" s="184"/>
      <c r="H205" s="251"/>
      <c r="I205" s="184">
        <f t="shared" si="11"/>
        <v>0</v>
      </c>
      <c r="J205" s="184"/>
      <c r="K205" s="251"/>
      <c r="L205" s="184">
        <f t="shared" si="9"/>
        <v>0</v>
      </c>
      <c r="M205" s="184"/>
      <c r="N205" s="251"/>
      <c r="O205" s="184">
        <f t="shared" si="10"/>
        <v>0</v>
      </c>
    </row>
    <row r="206" spans="1:15" ht="15" hidden="1">
      <c r="A206" s="192" t="s">
        <v>418</v>
      </c>
      <c r="B206" s="182" t="s">
        <v>797</v>
      </c>
      <c r="C206" s="182" t="s">
        <v>210</v>
      </c>
      <c r="D206" s="182" t="s">
        <v>407</v>
      </c>
      <c r="E206" s="207" t="s">
        <v>419</v>
      </c>
      <c r="F206" s="183"/>
      <c r="G206" s="184">
        <f>G207</f>
        <v>0</v>
      </c>
      <c r="H206" s="184"/>
      <c r="I206" s="184">
        <f t="shared" si="11"/>
        <v>0</v>
      </c>
      <c r="J206" s="184">
        <f>J207</f>
        <v>0</v>
      </c>
      <c r="K206" s="184"/>
      <c r="L206" s="184">
        <f t="shared" si="9"/>
        <v>0</v>
      </c>
      <c r="M206" s="184">
        <f>M207</f>
        <v>0</v>
      </c>
      <c r="N206" s="184"/>
      <c r="O206" s="184">
        <f t="shared" si="10"/>
        <v>0</v>
      </c>
    </row>
    <row r="207" spans="1:15" ht="35.25" customHeight="1" hidden="1">
      <c r="A207" s="217" t="s">
        <v>416</v>
      </c>
      <c r="B207" s="182" t="s">
        <v>797</v>
      </c>
      <c r="C207" s="182" t="s">
        <v>210</v>
      </c>
      <c r="D207" s="182" t="s">
        <v>407</v>
      </c>
      <c r="E207" s="207" t="s">
        <v>420</v>
      </c>
      <c r="F207" s="183"/>
      <c r="G207" s="184">
        <f>G208</f>
        <v>0</v>
      </c>
      <c r="H207" s="184"/>
      <c r="I207" s="184">
        <f t="shared" si="11"/>
        <v>0</v>
      </c>
      <c r="J207" s="184">
        <f>J208</f>
        <v>0</v>
      </c>
      <c r="K207" s="184"/>
      <c r="L207" s="184">
        <f t="shared" si="9"/>
        <v>0</v>
      </c>
      <c r="M207" s="184">
        <f>M208</f>
        <v>0</v>
      </c>
      <c r="N207" s="184"/>
      <c r="O207" s="184">
        <f t="shared" si="10"/>
        <v>0</v>
      </c>
    </row>
    <row r="208" spans="1:15" ht="15" hidden="1">
      <c r="A208" s="192" t="s">
        <v>252</v>
      </c>
      <c r="B208" s="182" t="s">
        <v>797</v>
      </c>
      <c r="C208" s="182" t="s">
        <v>210</v>
      </c>
      <c r="D208" s="182" t="s">
        <v>407</v>
      </c>
      <c r="E208" s="207" t="s">
        <v>420</v>
      </c>
      <c r="F208" s="183" t="s">
        <v>207</v>
      </c>
      <c r="G208" s="184"/>
      <c r="H208" s="184"/>
      <c r="I208" s="184">
        <f t="shared" si="11"/>
        <v>0</v>
      </c>
      <c r="J208" s="184"/>
      <c r="K208" s="184"/>
      <c r="L208" s="184">
        <f t="shared" si="9"/>
        <v>0</v>
      </c>
      <c r="M208" s="184"/>
      <c r="N208" s="184"/>
      <c r="O208" s="184">
        <f t="shared" si="10"/>
        <v>0</v>
      </c>
    </row>
    <row r="209" spans="1:15" ht="29.25" customHeight="1" hidden="1">
      <c r="A209" s="199" t="s">
        <v>421</v>
      </c>
      <c r="B209" s="182" t="s">
        <v>797</v>
      </c>
      <c r="C209" s="182" t="s">
        <v>210</v>
      </c>
      <c r="D209" s="182" t="s">
        <v>407</v>
      </c>
      <c r="E209" s="207" t="s">
        <v>422</v>
      </c>
      <c r="F209" s="183"/>
      <c r="G209" s="184">
        <f>G210</f>
        <v>0</v>
      </c>
      <c r="H209" s="251"/>
      <c r="I209" s="184">
        <f t="shared" si="11"/>
        <v>0</v>
      </c>
      <c r="J209" s="184">
        <f>J210</f>
        <v>0</v>
      </c>
      <c r="K209" s="251"/>
      <c r="L209" s="184">
        <f t="shared" si="9"/>
        <v>0</v>
      </c>
      <c r="M209" s="184">
        <f>M210</f>
        <v>0</v>
      </c>
      <c r="N209" s="251"/>
      <c r="O209" s="184">
        <f t="shared" si="10"/>
        <v>0</v>
      </c>
    </row>
    <row r="210" spans="1:15" ht="21" customHeight="1" hidden="1">
      <c r="A210" s="192" t="s">
        <v>252</v>
      </c>
      <c r="B210" s="182" t="s">
        <v>797</v>
      </c>
      <c r="C210" s="182" t="s">
        <v>210</v>
      </c>
      <c r="D210" s="182" t="s">
        <v>407</v>
      </c>
      <c r="E210" s="207" t="s">
        <v>422</v>
      </c>
      <c r="F210" s="183" t="s">
        <v>207</v>
      </c>
      <c r="G210" s="184"/>
      <c r="H210" s="251"/>
      <c r="I210" s="184">
        <f t="shared" si="11"/>
        <v>0</v>
      </c>
      <c r="J210" s="184"/>
      <c r="K210" s="251"/>
      <c r="L210" s="184">
        <f t="shared" si="9"/>
        <v>0</v>
      </c>
      <c r="M210" s="184"/>
      <c r="N210" s="251"/>
      <c r="O210" s="184">
        <f t="shared" si="10"/>
        <v>0</v>
      </c>
    </row>
    <row r="211" spans="1:15" ht="25.5">
      <c r="A211" s="192" t="s">
        <v>423</v>
      </c>
      <c r="B211" s="182" t="s">
        <v>797</v>
      </c>
      <c r="C211" s="182" t="s">
        <v>210</v>
      </c>
      <c r="D211" s="182" t="s">
        <v>407</v>
      </c>
      <c r="E211" s="207" t="s">
        <v>424</v>
      </c>
      <c r="F211" s="183"/>
      <c r="G211" s="184">
        <f>G212+G213</f>
        <v>1580432</v>
      </c>
      <c r="H211" s="251"/>
      <c r="I211" s="184">
        <f t="shared" si="11"/>
        <v>1580432</v>
      </c>
      <c r="J211" s="184">
        <f>J212+J213</f>
        <v>2343944</v>
      </c>
      <c r="K211" s="251"/>
      <c r="L211" s="184">
        <f t="shared" si="9"/>
        <v>2343944</v>
      </c>
      <c r="M211" s="184">
        <f>M212+M213</f>
        <v>2758768</v>
      </c>
      <c r="N211" s="251"/>
      <c r="O211" s="184">
        <f t="shared" si="10"/>
        <v>2758768</v>
      </c>
    </row>
    <row r="212" spans="1:15" ht="18.75" customHeight="1">
      <c r="A212" s="192" t="s">
        <v>252</v>
      </c>
      <c r="B212" s="182" t="s">
        <v>797</v>
      </c>
      <c r="C212" s="182" t="s">
        <v>210</v>
      </c>
      <c r="D212" s="182" t="s">
        <v>407</v>
      </c>
      <c r="E212" s="207" t="s">
        <v>424</v>
      </c>
      <c r="F212" s="183" t="s">
        <v>207</v>
      </c>
      <c r="G212" s="184">
        <f>1580432</f>
        <v>1580432</v>
      </c>
      <c r="H212" s="251"/>
      <c r="I212" s="184">
        <f t="shared" si="11"/>
        <v>1580432</v>
      </c>
      <c r="J212" s="184">
        <f>6998777-4654833</f>
        <v>2343944</v>
      </c>
      <c r="K212" s="251"/>
      <c r="L212" s="184">
        <f t="shared" si="9"/>
        <v>2343944</v>
      </c>
      <c r="M212" s="184">
        <f>7258768-4500000</f>
        <v>2758768</v>
      </c>
      <c r="N212" s="251"/>
      <c r="O212" s="184">
        <f t="shared" si="10"/>
        <v>2758768</v>
      </c>
    </row>
    <row r="213" spans="1:15" ht="16.5" customHeight="1" hidden="1">
      <c r="A213" s="192" t="s">
        <v>274</v>
      </c>
      <c r="B213" s="182" t="s">
        <v>797</v>
      </c>
      <c r="C213" s="182" t="s">
        <v>210</v>
      </c>
      <c r="D213" s="182" t="s">
        <v>407</v>
      </c>
      <c r="E213" s="207" t="s">
        <v>424</v>
      </c>
      <c r="F213" s="183" t="s">
        <v>275</v>
      </c>
      <c r="G213" s="184"/>
      <c r="H213" s="251"/>
      <c r="I213" s="184">
        <f t="shared" si="11"/>
        <v>0</v>
      </c>
      <c r="J213" s="184"/>
      <c r="K213" s="251"/>
      <c r="L213" s="184">
        <f t="shared" si="9"/>
        <v>0</v>
      </c>
      <c r="M213" s="184"/>
      <c r="N213" s="251"/>
      <c r="O213" s="184">
        <f t="shared" si="10"/>
        <v>0</v>
      </c>
    </row>
    <row r="214" spans="1:15" ht="30.75" customHeight="1">
      <c r="A214" s="199" t="s">
        <v>425</v>
      </c>
      <c r="B214" s="182" t="s">
        <v>797</v>
      </c>
      <c r="C214" s="182" t="s">
        <v>210</v>
      </c>
      <c r="D214" s="182" t="s">
        <v>407</v>
      </c>
      <c r="E214" s="207" t="s">
        <v>426</v>
      </c>
      <c r="F214" s="183"/>
      <c r="G214" s="184">
        <f>G215+G219+G217+G224+G222</f>
        <v>42425615</v>
      </c>
      <c r="H214" s="184"/>
      <c r="I214" s="184">
        <f t="shared" si="11"/>
        <v>42425615</v>
      </c>
      <c r="J214" s="184">
        <f>J215+J219+J217+J224</f>
        <v>25512868</v>
      </c>
      <c r="K214" s="184"/>
      <c r="L214" s="184">
        <f t="shared" si="9"/>
        <v>25512868</v>
      </c>
      <c r="M214" s="184">
        <f>M215+M219+M217+M224</f>
        <v>4500000</v>
      </c>
      <c r="N214" s="184"/>
      <c r="O214" s="184">
        <f t="shared" si="10"/>
        <v>4500000</v>
      </c>
    </row>
    <row r="215" spans="1:15" ht="25.5">
      <c r="A215" s="192" t="s">
        <v>427</v>
      </c>
      <c r="B215" s="182" t="s">
        <v>797</v>
      </c>
      <c r="C215" s="182" t="s">
        <v>210</v>
      </c>
      <c r="D215" s="182" t="s">
        <v>407</v>
      </c>
      <c r="E215" s="207" t="s">
        <v>428</v>
      </c>
      <c r="F215" s="183"/>
      <c r="G215" s="184">
        <f>G216</f>
        <v>0</v>
      </c>
      <c r="H215" s="251"/>
      <c r="I215" s="184">
        <f t="shared" si="11"/>
        <v>0</v>
      </c>
      <c r="J215" s="184">
        <f>J216</f>
        <v>4654833</v>
      </c>
      <c r="K215" s="251"/>
      <c r="L215" s="184">
        <f t="shared" si="9"/>
        <v>4654833</v>
      </c>
      <c r="M215" s="184">
        <f>M216</f>
        <v>4500000</v>
      </c>
      <c r="N215" s="251"/>
      <c r="O215" s="184">
        <f t="shared" si="10"/>
        <v>4500000</v>
      </c>
    </row>
    <row r="216" spans="1:15" ht="14.25" customHeight="1">
      <c r="A216" s="199" t="s">
        <v>429</v>
      </c>
      <c r="B216" s="182" t="s">
        <v>797</v>
      </c>
      <c r="C216" s="182" t="s">
        <v>210</v>
      </c>
      <c r="D216" s="182" t="s">
        <v>407</v>
      </c>
      <c r="E216" s="207" t="s">
        <v>428</v>
      </c>
      <c r="F216" s="183" t="s">
        <v>430</v>
      </c>
      <c r="G216" s="184"/>
      <c r="H216" s="251"/>
      <c r="I216" s="184">
        <f t="shared" si="11"/>
        <v>0</v>
      </c>
      <c r="J216" s="184">
        <f>4654833</f>
        <v>4654833</v>
      </c>
      <c r="K216" s="251"/>
      <c r="L216" s="184">
        <f t="shared" si="9"/>
        <v>4654833</v>
      </c>
      <c r="M216" s="184">
        <v>4500000</v>
      </c>
      <c r="N216" s="251"/>
      <c r="O216" s="184">
        <f t="shared" si="10"/>
        <v>4500000</v>
      </c>
    </row>
    <row r="217" spans="1:15" ht="38.25" customHeight="1">
      <c r="A217" s="199" t="s">
        <v>799</v>
      </c>
      <c r="B217" s="182" t="s">
        <v>797</v>
      </c>
      <c r="C217" s="182" t="s">
        <v>210</v>
      </c>
      <c r="D217" s="182" t="s">
        <v>407</v>
      </c>
      <c r="E217" s="207" t="s">
        <v>432</v>
      </c>
      <c r="F217" s="183"/>
      <c r="G217" s="184">
        <f>G218</f>
        <v>34543432</v>
      </c>
      <c r="H217" s="251"/>
      <c r="I217" s="184">
        <f t="shared" si="11"/>
        <v>34543432</v>
      </c>
      <c r="J217" s="184">
        <f>J218</f>
        <v>20649455</v>
      </c>
      <c r="K217" s="251"/>
      <c r="L217" s="184">
        <f t="shared" si="9"/>
        <v>20649455</v>
      </c>
      <c r="M217" s="184">
        <f>M218</f>
        <v>0</v>
      </c>
      <c r="N217" s="251"/>
      <c r="O217" s="184">
        <f t="shared" si="10"/>
        <v>0</v>
      </c>
    </row>
    <row r="218" spans="1:15" ht="28.5" customHeight="1">
      <c r="A218" s="199" t="s">
        <v>429</v>
      </c>
      <c r="B218" s="182" t="s">
        <v>797</v>
      </c>
      <c r="C218" s="182" t="s">
        <v>210</v>
      </c>
      <c r="D218" s="182" t="s">
        <v>407</v>
      </c>
      <c r="E218" s="207" t="s">
        <v>432</v>
      </c>
      <c r="F218" s="183" t="s">
        <v>430</v>
      </c>
      <c r="G218" s="184">
        <v>34543432</v>
      </c>
      <c r="H218" s="251"/>
      <c r="I218" s="184">
        <f t="shared" si="11"/>
        <v>34543432</v>
      </c>
      <c r="J218" s="184">
        <v>20649455</v>
      </c>
      <c r="K218" s="251"/>
      <c r="L218" s="184">
        <f t="shared" si="9"/>
        <v>20649455</v>
      </c>
      <c r="M218" s="184"/>
      <c r="N218" s="251"/>
      <c r="O218" s="184">
        <f t="shared" si="10"/>
        <v>0</v>
      </c>
    </row>
    <row r="219" spans="1:15" ht="41.25" customHeight="1">
      <c r="A219" s="199" t="s">
        <v>433</v>
      </c>
      <c r="B219" s="182" t="s">
        <v>797</v>
      </c>
      <c r="C219" s="182" t="s">
        <v>210</v>
      </c>
      <c r="D219" s="182" t="s">
        <v>407</v>
      </c>
      <c r="E219" s="207" t="s">
        <v>434</v>
      </c>
      <c r="F219" s="183"/>
      <c r="G219" s="184">
        <f>G220</f>
        <v>348924</v>
      </c>
      <c r="H219" s="251"/>
      <c r="I219" s="184">
        <f t="shared" si="11"/>
        <v>348924</v>
      </c>
      <c r="J219" s="184">
        <f>J220</f>
        <v>208580</v>
      </c>
      <c r="K219" s="251"/>
      <c r="L219" s="184">
        <f t="shared" si="9"/>
        <v>208580</v>
      </c>
      <c r="M219" s="184">
        <f>M220</f>
        <v>0</v>
      </c>
      <c r="N219" s="251"/>
      <c r="O219" s="184">
        <f t="shared" si="10"/>
        <v>0</v>
      </c>
    </row>
    <row r="220" spans="1:15" ht="15">
      <c r="A220" s="199" t="s">
        <v>429</v>
      </c>
      <c r="B220" s="182" t="s">
        <v>797</v>
      </c>
      <c r="C220" s="182" t="s">
        <v>210</v>
      </c>
      <c r="D220" s="182" t="s">
        <v>407</v>
      </c>
      <c r="E220" s="207" t="s">
        <v>434</v>
      </c>
      <c r="F220" s="183" t="s">
        <v>430</v>
      </c>
      <c r="G220" s="184">
        <f>348924</f>
        <v>348924</v>
      </c>
      <c r="H220" s="251"/>
      <c r="I220" s="184">
        <f t="shared" si="11"/>
        <v>348924</v>
      </c>
      <c r="J220" s="184">
        <f>208580</f>
        <v>208580</v>
      </c>
      <c r="K220" s="251"/>
      <c r="L220" s="184">
        <f t="shared" si="9"/>
        <v>208580</v>
      </c>
      <c r="M220" s="184"/>
      <c r="N220" s="251"/>
      <c r="O220" s="184">
        <f t="shared" si="10"/>
        <v>0</v>
      </c>
    </row>
    <row r="221" spans="1:15" ht="15">
      <c r="A221" s="192" t="s">
        <v>414</v>
      </c>
      <c r="B221" s="182" t="s">
        <v>797</v>
      </c>
      <c r="C221" s="182" t="s">
        <v>210</v>
      </c>
      <c r="D221" s="182" t="s">
        <v>407</v>
      </c>
      <c r="E221" s="207" t="s">
        <v>435</v>
      </c>
      <c r="F221" s="183"/>
      <c r="G221" s="184">
        <f>G222</f>
        <v>2400000</v>
      </c>
      <c r="H221" s="251"/>
      <c r="I221" s="184">
        <f t="shared" si="11"/>
        <v>2400000</v>
      </c>
      <c r="J221" s="184"/>
      <c r="K221" s="251"/>
      <c r="L221" s="184">
        <f t="shared" si="9"/>
        <v>0</v>
      </c>
      <c r="M221" s="184"/>
      <c r="N221" s="251"/>
      <c r="O221" s="184">
        <f t="shared" si="10"/>
        <v>0</v>
      </c>
    </row>
    <row r="222" spans="1:15" ht="82.5" customHeight="1">
      <c r="A222" s="253" t="s">
        <v>436</v>
      </c>
      <c r="B222" s="182" t="s">
        <v>797</v>
      </c>
      <c r="C222" s="182" t="s">
        <v>210</v>
      </c>
      <c r="D222" s="182" t="s">
        <v>407</v>
      </c>
      <c r="E222" s="207" t="s">
        <v>437</v>
      </c>
      <c r="F222" s="183"/>
      <c r="G222" s="184">
        <f>G223</f>
        <v>2400000</v>
      </c>
      <c r="H222" s="184"/>
      <c r="I222" s="184">
        <f t="shared" si="11"/>
        <v>2400000</v>
      </c>
      <c r="J222" s="184">
        <f>J223</f>
        <v>0</v>
      </c>
      <c r="K222" s="184"/>
      <c r="L222" s="184">
        <f>J222+K222</f>
        <v>0</v>
      </c>
      <c r="M222" s="184">
        <f>M223</f>
        <v>0</v>
      </c>
      <c r="N222" s="184"/>
      <c r="O222" s="184">
        <f>M222+N222</f>
        <v>0</v>
      </c>
    </row>
    <row r="223" spans="1:15" ht="15">
      <c r="A223" s="199" t="s">
        <v>429</v>
      </c>
      <c r="B223" s="182" t="s">
        <v>797</v>
      </c>
      <c r="C223" s="182" t="s">
        <v>210</v>
      </c>
      <c r="D223" s="182" t="s">
        <v>407</v>
      </c>
      <c r="E223" s="207" t="s">
        <v>437</v>
      </c>
      <c r="F223" s="183" t="s">
        <v>430</v>
      </c>
      <c r="G223" s="184">
        <v>2400000</v>
      </c>
      <c r="H223" s="184"/>
      <c r="I223" s="184">
        <f t="shared" si="11"/>
        <v>2400000</v>
      </c>
      <c r="J223" s="184"/>
      <c r="K223" s="184"/>
      <c r="L223" s="184">
        <f>J223+K223</f>
        <v>0</v>
      </c>
      <c r="M223" s="184"/>
      <c r="N223" s="184"/>
      <c r="O223" s="184">
        <f>M223+N223</f>
        <v>0</v>
      </c>
    </row>
    <row r="224" spans="1:15" ht="15">
      <c r="A224" s="192" t="s">
        <v>418</v>
      </c>
      <c r="B224" s="182" t="s">
        <v>797</v>
      </c>
      <c r="C224" s="182" t="s">
        <v>210</v>
      </c>
      <c r="D224" s="182" t="s">
        <v>407</v>
      </c>
      <c r="E224" s="207" t="s">
        <v>438</v>
      </c>
      <c r="F224" s="183"/>
      <c r="G224" s="184">
        <f>G225</f>
        <v>5133259</v>
      </c>
      <c r="H224" s="184"/>
      <c r="I224" s="184">
        <f t="shared" si="11"/>
        <v>5133259</v>
      </c>
      <c r="J224" s="184">
        <f>J225</f>
        <v>0</v>
      </c>
      <c r="K224" s="184"/>
      <c r="L224" s="184">
        <f t="shared" si="9"/>
        <v>0</v>
      </c>
      <c r="M224" s="184">
        <f>M225</f>
        <v>0</v>
      </c>
      <c r="N224" s="184"/>
      <c r="O224" s="184">
        <f>M224+N224</f>
        <v>0</v>
      </c>
    </row>
    <row r="225" spans="1:15" ht="75.75" customHeight="1">
      <c r="A225" s="253" t="s">
        <v>436</v>
      </c>
      <c r="B225" s="182" t="s">
        <v>797</v>
      </c>
      <c r="C225" s="182" t="s">
        <v>210</v>
      </c>
      <c r="D225" s="182" t="s">
        <v>407</v>
      </c>
      <c r="E225" s="207" t="s">
        <v>439</v>
      </c>
      <c r="F225" s="183"/>
      <c r="G225" s="184">
        <f>G226</f>
        <v>5133259</v>
      </c>
      <c r="H225" s="184"/>
      <c r="I225" s="184">
        <f t="shared" si="11"/>
        <v>5133259</v>
      </c>
      <c r="J225" s="184">
        <f>J226</f>
        <v>0</v>
      </c>
      <c r="K225" s="184"/>
      <c r="L225" s="184">
        <f t="shared" si="9"/>
        <v>0</v>
      </c>
      <c r="M225" s="184">
        <f>M226</f>
        <v>0</v>
      </c>
      <c r="N225" s="184"/>
      <c r="O225" s="184">
        <f>M225+N225</f>
        <v>0</v>
      </c>
    </row>
    <row r="226" spans="1:15" ht="15">
      <c r="A226" s="199" t="s">
        <v>429</v>
      </c>
      <c r="B226" s="182" t="s">
        <v>797</v>
      </c>
      <c r="C226" s="182" t="s">
        <v>210</v>
      </c>
      <c r="D226" s="182" t="s">
        <v>407</v>
      </c>
      <c r="E226" s="207" t="s">
        <v>439</v>
      </c>
      <c r="F226" s="183" t="s">
        <v>430</v>
      </c>
      <c r="G226" s="184">
        <f>5133259</f>
        <v>5133259</v>
      </c>
      <c r="H226" s="184"/>
      <c r="I226" s="184">
        <f t="shared" si="11"/>
        <v>5133259</v>
      </c>
      <c r="J226" s="184"/>
      <c r="K226" s="184"/>
      <c r="L226" s="184">
        <f t="shared" si="9"/>
        <v>0</v>
      </c>
      <c r="M226" s="184"/>
      <c r="N226" s="184"/>
      <c r="O226" s="184">
        <f>M226+N226</f>
        <v>0</v>
      </c>
    </row>
    <row r="227" spans="1:15" ht="20.25" customHeight="1">
      <c r="A227" s="199" t="s">
        <v>440</v>
      </c>
      <c r="B227" s="182" t="s">
        <v>797</v>
      </c>
      <c r="C227" s="182" t="s">
        <v>210</v>
      </c>
      <c r="D227" s="182" t="s">
        <v>441</v>
      </c>
      <c r="E227" s="182"/>
      <c r="F227" s="183"/>
      <c r="G227" s="184">
        <f>G228+G240+G251</f>
        <v>1376323</v>
      </c>
      <c r="H227" s="251"/>
      <c r="I227" s="184">
        <f t="shared" si="11"/>
        <v>1376323</v>
      </c>
      <c r="J227" s="184">
        <f>J228+J240+J251</f>
        <v>1314781</v>
      </c>
      <c r="K227" s="251"/>
      <c r="L227" s="184">
        <f t="shared" si="9"/>
        <v>1314781</v>
      </c>
      <c r="M227" s="184">
        <f>M228+M240+M251</f>
        <v>984404</v>
      </c>
      <c r="N227" s="251"/>
      <c r="O227" s="184">
        <f t="shared" si="10"/>
        <v>984404</v>
      </c>
    </row>
    <row r="228" spans="1:15" ht="41.25" customHeight="1">
      <c r="A228" s="209" t="s">
        <v>442</v>
      </c>
      <c r="B228" s="182" t="s">
        <v>797</v>
      </c>
      <c r="C228" s="182" t="s">
        <v>210</v>
      </c>
      <c r="D228" s="182" t="s">
        <v>441</v>
      </c>
      <c r="E228" s="182" t="s">
        <v>443</v>
      </c>
      <c r="F228" s="183"/>
      <c r="G228" s="184">
        <f>G229</f>
        <v>200000</v>
      </c>
      <c r="H228" s="251"/>
      <c r="I228" s="184">
        <f t="shared" si="11"/>
        <v>200000</v>
      </c>
      <c r="J228" s="184">
        <f>J229</f>
        <v>200000</v>
      </c>
      <c r="K228" s="251"/>
      <c r="L228" s="184">
        <f t="shared" si="9"/>
        <v>200000</v>
      </c>
      <c r="M228" s="184">
        <f>M229</f>
        <v>200000</v>
      </c>
      <c r="N228" s="251"/>
      <c r="O228" s="184">
        <f t="shared" si="10"/>
        <v>200000</v>
      </c>
    </row>
    <row r="229" spans="1:15" ht="53.25" customHeight="1">
      <c r="A229" s="213" t="s">
        <v>444</v>
      </c>
      <c r="B229" s="182" t="s">
        <v>797</v>
      </c>
      <c r="C229" s="182" t="s">
        <v>210</v>
      </c>
      <c r="D229" s="182" t="s">
        <v>441</v>
      </c>
      <c r="E229" s="182" t="s">
        <v>445</v>
      </c>
      <c r="F229" s="183"/>
      <c r="G229" s="184">
        <f>G230</f>
        <v>200000</v>
      </c>
      <c r="H229" s="251"/>
      <c r="I229" s="184">
        <f t="shared" si="11"/>
        <v>200000</v>
      </c>
      <c r="J229" s="184">
        <f>J230</f>
        <v>200000</v>
      </c>
      <c r="K229" s="251"/>
      <c r="L229" s="184">
        <f t="shared" si="9"/>
        <v>200000</v>
      </c>
      <c r="M229" s="184">
        <f>M230</f>
        <v>200000</v>
      </c>
      <c r="N229" s="251"/>
      <c r="O229" s="184">
        <f t="shared" si="10"/>
        <v>200000</v>
      </c>
    </row>
    <row r="230" spans="1:15" ht="44.25" customHeight="1">
      <c r="A230" s="199" t="s">
        <v>446</v>
      </c>
      <c r="B230" s="182" t="s">
        <v>797</v>
      </c>
      <c r="C230" s="182" t="s">
        <v>210</v>
      </c>
      <c r="D230" s="182" t="s">
        <v>441</v>
      </c>
      <c r="E230" s="182" t="s">
        <v>447</v>
      </c>
      <c r="F230" s="183"/>
      <c r="G230" s="184">
        <f>G231+G233</f>
        <v>200000</v>
      </c>
      <c r="H230" s="251"/>
      <c r="I230" s="184">
        <f t="shared" si="11"/>
        <v>200000</v>
      </c>
      <c r="J230" s="184">
        <f>J231+J233</f>
        <v>200000</v>
      </c>
      <c r="K230" s="251"/>
      <c r="L230" s="184">
        <f t="shared" si="9"/>
        <v>200000</v>
      </c>
      <c r="M230" s="184">
        <f>M231+M233</f>
        <v>200000</v>
      </c>
      <c r="N230" s="251"/>
      <c r="O230" s="184">
        <f t="shared" si="10"/>
        <v>200000</v>
      </c>
    </row>
    <row r="231" spans="1:15" ht="15" hidden="1">
      <c r="A231" s="191" t="s">
        <v>448</v>
      </c>
      <c r="B231" s="182" t="s">
        <v>797</v>
      </c>
      <c r="C231" s="182" t="s">
        <v>210</v>
      </c>
      <c r="D231" s="182" t="s">
        <v>441</v>
      </c>
      <c r="E231" s="182" t="s">
        <v>449</v>
      </c>
      <c r="F231" s="183"/>
      <c r="G231" s="184">
        <f>G232</f>
        <v>0</v>
      </c>
      <c r="H231" s="251"/>
      <c r="I231" s="184">
        <f t="shared" si="11"/>
        <v>0</v>
      </c>
      <c r="J231" s="184">
        <f>J232</f>
        <v>0</v>
      </c>
      <c r="K231" s="251"/>
      <c r="L231" s="184">
        <f t="shared" si="9"/>
        <v>0</v>
      </c>
      <c r="M231" s="184">
        <f>M232</f>
        <v>0</v>
      </c>
      <c r="N231" s="251"/>
      <c r="O231" s="184">
        <f t="shared" si="10"/>
        <v>0</v>
      </c>
    </row>
    <row r="232" spans="1:15" ht="25.5" hidden="1">
      <c r="A232" s="192" t="s">
        <v>206</v>
      </c>
      <c r="B232" s="182" t="s">
        <v>797</v>
      </c>
      <c r="C232" s="182" t="s">
        <v>210</v>
      </c>
      <c r="D232" s="182" t="s">
        <v>441</v>
      </c>
      <c r="E232" s="182" t="s">
        <v>449</v>
      </c>
      <c r="F232" s="183" t="s">
        <v>207</v>
      </c>
      <c r="G232" s="184"/>
      <c r="H232" s="251"/>
      <c r="I232" s="184">
        <f t="shared" si="11"/>
        <v>0</v>
      </c>
      <c r="J232" s="184"/>
      <c r="K232" s="251"/>
      <c r="L232" s="184">
        <f t="shared" si="9"/>
        <v>0</v>
      </c>
      <c r="M232" s="184"/>
      <c r="N232" s="251"/>
      <c r="O232" s="184">
        <f t="shared" si="10"/>
        <v>0</v>
      </c>
    </row>
    <row r="233" spans="1:15" ht="15">
      <c r="A233" s="191" t="s">
        <v>450</v>
      </c>
      <c r="B233" s="182" t="s">
        <v>797</v>
      </c>
      <c r="C233" s="182" t="s">
        <v>210</v>
      </c>
      <c r="D233" s="182" t="s">
        <v>441</v>
      </c>
      <c r="E233" s="182" t="s">
        <v>451</v>
      </c>
      <c r="F233" s="183"/>
      <c r="G233" s="184">
        <f>G234</f>
        <v>200000</v>
      </c>
      <c r="H233" s="251"/>
      <c r="I233" s="184">
        <f t="shared" si="11"/>
        <v>200000</v>
      </c>
      <c r="J233" s="184">
        <f>J234</f>
        <v>200000</v>
      </c>
      <c r="K233" s="251"/>
      <c r="L233" s="184">
        <f t="shared" si="9"/>
        <v>200000</v>
      </c>
      <c r="M233" s="184">
        <f>M234</f>
        <v>200000</v>
      </c>
      <c r="N233" s="251"/>
      <c r="O233" s="184">
        <f t="shared" si="10"/>
        <v>200000</v>
      </c>
    </row>
    <row r="234" spans="1:15" ht="22.5" customHeight="1">
      <c r="A234" s="192" t="s">
        <v>206</v>
      </c>
      <c r="B234" s="182" t="s">
        <v>797</v>
      </c>
      <c r="C234" s="182" t="s">
        <v>210</v>
      </c>
      <c r="D234" s="182" t="s">
        <v>441</v>
      </c>
      <c r="E234" s="182" t="s">
        <v>451</v>
      </c>
      <c r="F234" s="183" t="s">
        <v>207</v>
      </c>
      <c r="G234" s="184">
        <v>200000</v>
      </c>
      <c r="H234" s="251"/>
      <c r="I234" s="184">
        <f t="shared" si="11"/>
        <v>200000</v>
      </c>
      <c r="J234" s="184">
        <v>200000</v>
      </c>
      <c r="K234" s="251"/>
      <c r="L234" s="184">
        <f t="shared" si="9"/>
        <v>200000</v>
      </c>
      <c r="M234" s="184">
        <v>200000</v>
      </c>
      <c r="N234" s="251"/>
      <c r="O234" s="184">
        <f t="shared" si="10"/>
        <v>200000</v>
      </c>
    </row>
    <row r="235" spans="1:15" ht="38.25" hidden="1">
      <c r="A235" s="209" t="s">
        <v>452</v>
      </c>
      <c r="B235" s="182" t="s">
        <v>797</v>
      </c>
      <c r="C235" s="182" t="s">
        <v>210</v>
      </c>
      <c r="D235" s="182" t="s">
        <v>441</v>
      </c>
      <c r="E235" s="219" t="s">
        <v>310</v>
      </c>
      <c r="F235" s="183"/>
      <c r="G235" s="184">
        <f>G236</f>
        <v>0</v>
      </c>
      <c r="H235" s="251"/>
      <c r="I235" s="184">
        <f t="shared" si="11"/>
        <v>0</v>
      </c>
      <c r="J235" s="184">
        <f>J236</f>
        <v>0</v>
      </c>
      <c r="K235" s="251"/>
      <c r="L235" s="184">
        <f t="shared" si="9"/>
        <v>0</v>
      </c>
      <c r="M235" s="184">
        <f>M236</f>
        <v>0</v>
      </c>
      <c r="N235" s="251"/>
      <c r="O235" s="184">
        <f t="shared" si="10"/>
        <v>0</v>
      </c>
    </row>
    <row r="236" spans="1:15" ht="63.75" hidden="1">
      <c r="A236" s="211" t="s">
        <v>453</v>
      </c>
      <c r="B236" s="182" t="s">
        <v>797</v>
      </c>
      <c r="C236" s="182" t="s">
        <v>210</v>
      </c>
      <c r="D236" s="182" t="s">
        <v>441</v>
      </c>
      <c r="E236" s="219" t="s">
        <v>312</v>
      </c>
      <c r="F236" s="183"/>
      <c r="G236" s="184">
        <f>G237</f>
        <v>0</v>
      </c>
      <c r="H236" s="251"/>
      <c r="I236" s="184">
        <f t="shared" si="11"/>
        <v>0</v>
      </c>
      <c r="J236" s="184">
        <f>J237</f>
        <v>0</v>
      </c>
      <c r="K236" s="251"/>
      <c r="L236" s="184">
        <f t="shared" si="9"/>
        <v>0</v>
      </c>
      <c r="M236" s="184">
        <f>M237</f>
        <v>0</v>
      </c>
      <c r="N236" s="251"/>
      <c r="O236" s="184">
        <f t="shared" si="10"/>
        <v>0</v>
      </c>
    </row>
    <row r="237" spans="1:15" ht="25.5" hidden="1">
      <c r="A237" s="199" t="s">
        <v>454</v>
      </c>
      <c r="B237" s="182" t="s">
        <v>797</v>
      </c>
      <c r="C237" s="182" t="s">
        <v>210</v>
      </c>
      <c r="D237" s="182" t="s">
        <v>441</v>
      </c>
      <c r="E237" s="219" t="s">
        <v>314</v>
      </c>
      <c r="F237" s="183"/>
      <c r="G237" s="184">
        <f>G238</f>
        <v>0</v>
      </c>
      <c r="H237" s="251"/>
      <c r="I237" s="184">
        <f t="shared" si="11"/>
        <v>0</v>
      </c>
      <c r="J237" s="184">
        <f>J238</f>
        <v>0</v>
      </c>
      <c r="K237" s="251"/>
      <c r="L237" s="184">
        <f>L238</f>
        <v>0</v>
      </c>
      <c r="M237" s="184">
        <f>M238</f>
        <v>0</v>
      </c>
      <c r="N237" s="251"/>
      <c r="O237" s="184">
        <f>O238</f>
        <v>0</v>
      </c>
    </row>
    <row r="238" spans="1:15" ht="15.75" hidden="1">
      <c r="A238" s="197" t="s">
        <v>315</v>
      </c>
      <c r="B238" s="182" t="s">
        <v>797</v>
      </c>
      <c r="C238" s="182" t="s">
        <v>210</v>
      </c>
      <c r="D238" s="182" t="s">
        <v>441</v>
      </c>
      <c r="E238" s="219" t="s">
        <v>316</v>
      </c>
      <c r="F238" s="183"/>
      <c r="G238" s="184">
        <f>G239</f>
        <v>0</v>
      </c>
      <c r="H238" s="251"/>
      <c r="I238" s="184">
        <f t="shared" si="11"/>
        <v>0</v>
      </c>
      <c r="J238" s="184">
        <f>J239</f>
        <v>0</v>
      </c>
      <c r="K238" s="251"/>
      <c r="L238" s="184">
        <f>J238+K238</f>
        <v>0</v>
      </c>
      <c r="M238" s="184">
        <f>M239</f>
        <v>0</v>
      </c>
      <c r="N238" s="251"/>
      <c r="O238" s="184">
        <f>M238+N238</f>
        <v>0</v>
      </c>
    </row>
    <row r="239" spans="1:15" ht="25.5" hidden="1">
      <c r="A239" s="192" t="s">
        <v>206</v>
      </c>
      <c r="B239" s="182" t="s">
        <v>797</v>
      </c>
      <c r="C239" s="182" t="s">
        <v>210</v>
      </c>
      <c r="D239" s="182" t="s">
        <v>441</v>
      </c>
      <c r="E239" s="219" t="s">
        <v>316</v>
      </c>
      <c r="F239" s="183" t="s">
        <v>207</v>
      </c>
      <c r="G239" s="184"/>
      <c r="H239" s="251"/>
      <c r="I239" s="184">
        <f t="shared" si="11"/>
        <v>0</v>
      </c>
      <c r="J239" s="184"/>
      <c r="K239" s="251"/>
      <c r="L239" s="184">
        <f>J239+K239</f>
        <v>0</v>
      </c>
      <c r="M239" s="184"/>
      <c r="N239" s="251"/>
      <c r="O239" s="184">
        <f>M239+N239</f>
        <v>0</v>
      </c>
    </row>
    <row r="240" spans="1:15" ht="42.75" customHeight="1">
      <c r="A240" s="209" t="s">
        <v>455</v>
      </c>
      <c r="B240" s="182" t="s">
        <v>797</v>
      </c>
      <c r="C240" s="182" t="s">
        <v>210</v>
      </c>
      <c r="D240" s="182" t="s">
        <v>441</v>
      </c>
      <c r="E240" s="215" t="s">
        <v>456</v>
      </c>
      <c r="F240" s="183"/>
      <c r="G240" s="184">
        <f>G241</f>
        <v>1156323</v>
      </c>
      <c r="H240" s="251"/>
      <c r="I240" s="184">
        <f t="shared" si="11"/>
        <v>1156323</v>
      </c>
      <c r="J240" s="184">
        <f>J241</f>
        <v>1094781</v>
      </c>
      <c r="K240" s="251"/>
      <c r="L240" s="184">
        <f>J240+K240</f>
        <v>1094781</v>
      </c>
      <c r="M240" s="184">
        <f>M241</f>
        <v>764404</v>
      </c>
      <c r="N240" s="251"/>
      <c r="O240" s="184">
        <f>M240+N240</f>
        <v>764404</v>
      </c>
    </row>
    <row r="241" spans="1:15" ht="54.75" customHeight="1">
      <c r="A241" s="211" t="s">
        <v>457</v>
      </c>
      <c r="B241" s="182" t="s">
        <v>797</v>
      </c>
      <c r="C241" s="182" t="s">
        <v>210</v>
      </c>
      <c r="D241" s="182" t="s">
        <v>441</v>
      </c>
      <c r="E241" s="215" t="s">
        <v>458</v>
      </c>
      <c r="F241" s="183"/>
      <c r="G241" s="184">
        <f>G242</f>
        <v>1156323</v>
      </c>
      <c r="H241" s="251"/>
      <c r="I241" s="184">
        <f t="shared" si="11"/>
        <v>1156323</v>
      </c>
      <c r="J241" s="184">
        <f>J242</f>
        <v>1094781</v>
      </c>
      <c r="K241" s="251"/>
      <c r="L241" s="184">
        <f>J241+K241</f>
        <v>1094781</v>
      </c>
      <c r="M241" s="184">
        <f>M242</f>
        <v>764404</v>
      </c>
      <c r="N241" s="251"/>
      <c r="O241" s="184">
        <f>M241+N241</f>
        <v>764404</v>
      </c>
    </row>
    <row r="242" spans="1:15" ht="35.25" customHeight="1">
      <c r="A242" s="199" t="s">
        <v>459</v>
      </c>
      <c r="B242" s="182" t="s">
        <v>797</v>
      </c>
      <c r="C242" s="182" t="s">
        <v>210</v>
      </c>
      <c r="D242" s="182" t="s">
        <v>441</v>
      </c>
      <c r="E242" s="204" t="s">
        <v>460</v>
      </c>
      <c r="F242" s="193"/>
      <c r="G242" s="184">
        <f>G249+G243+G247+G245</f>
        <v>1156323</v>
      </c>
      <c r="H242" s="251"/>
      <c r="I242" s="184">
        <f t="shared" si="11"/>
        <v>1156323</v>
      </c>
      <c r="J242" s="184">
        <f>J249+J243+J247+J245</f>
        <v>1094781</v>
      </c>
      <c r="K242" s="251"/>
      <c r="L242" s="184">
        <f aca="true" t="shared" si="12" ref="L242:L273">J242+K242</f>
        <v>1094781</v>
      </c>
      <c r="M242" s="184">
        <f>M249+M243+M247+M245</f>
        <v>764404</v>
      </c>
      <c r="N242" s="251"/>
      <c r="O242" s="184">
        <f aca="true" t="shared" si="13" ref="O242:O273">M242+N242</f>
        <v>764404</v>
      </c>
    </row>
    <row r="243" spans="1:15" ht="48" customHeight="1">
      <c r="A243" s="199" t="s">
        <v>461</v>
      </c>
      <c r="B243" s="182" t="s">
        <v>797</v>
      </c>
      <c r="C243" s="182" t="s">
        <v>210</v>
      </c>
      <c r="D243" s="182" t="s">
        <v>441</v>
      </c>
      <c r="E243" s="204" t="s">
        <v>462</v>
      </c>
      <c r="F243" s="193"/>
      <c r="G243" s="184">
        <f>G244</f>
        <v>809426</v>
      </c>
      <c r="H243" s="251"/>
      <c r="I243" s="184">
        <f t="shared" si="11"/>
        <v>809426</v>
      </c>
      <c r="J243" s="184">
        <f>J244</f>
        <v>766347</v>
      </c>
      <c r="K243" s="251"/>
      <c r="L243" s="184">
        <f t="shared" si="12"/>
        <v>766347</v>
      </c>
      <c r="M243" s="184">
        <f>M244</f>
        <v>535083</v>
      </c>
      <c r="N243" s="251"/>
      <c r="O243" s="184">
        <f t="shared" si="13"/>
        <v>535083</v>
      </c>
    </row>
    <row r="244" spans="1:15" ht="31.5" customHeight="1">
      <c r="A244" s="192" t="s">
        <v>206</v>
      </c>
      <c r="B244" s="182" t="s">
        <v>797</v>
      </c>
      <c r="C244" s="182" t="s">
        <v>210</v>
      </c>
      <c r="D244" s="182" t="s">
        <v>441</v>
      </c>
      <c r="E244" s="204" t="s">
        <v>462</v>
      </c>
      <c r="F244" s="193" t="s">
        <v>207</v>
      </c>
      <c r="G244" s="184">
        <v>809426</v>
      </c>
      <c r="H244" s="251"/>
      <c r="I244" s="184">
        <f t="shared" si="11"/>
        <v>809426</v>
      </c>
      <c r="J244" s="184">
        <v>766347</v>
      </c>
      <c r="K244" s="251"/>
      <c r="L244" s="184">
        <f t="shared" si="12"/>
        <v>766347</v>
      </c>
      <c r="M244" s="184">
        <v>535083</v>
      </c>
      <c r="N244" s="251"/>
      <c r="O244" s="184">
        <f t="shared" si="13"/>
        <v>535083</v>
      </c>
    </row>
    <row r="245" spans="1:15" ht="25.5" hidden="1">
      <c r="A245" s="192" t="s">
        <v>463</v>
      </c>
      <c r="B245" s="182" t="s">
        <v>797</v>
      </c>
      <c r="C245" s="182" t="s">
        <v>210</v>
      </c>
      <c r="D245" s="182" t="s">
        <v>441</v>
      </c>
      <c r="E245" s="204" t="s">
        <v>464</v>
      </c>
      <c r="F245" s="193"/>
      <c r="G245" s="184">
        <f>G246</f>
        <v>0</v>
      </c>
      <c r="H245" s="251"/>
      <c r="I245" s="184">
        <f t="shared" si="11"/>
        <v>0</v>
      </c>
      <c r="J245" s="184">
        <f>J246</f>
        <v>0</v>
      </c>
      <c r="K245" s="251"/>
      <c r="L245" s="184">
        <f t="shared" si="12"/>
        <v>0</v>
      </c>
      <c r="M245" s="184">
        <f>M246</f>
        <v>0</v>
      </c>
      <c r="N245" s="251"/>
      <c r="O245" s="184">
        <f t="shared" si="13"/>
        <v>0</v>
      </c>
    </row>
    <row r="246" spans="1:15" ht="25.5" hidden="1">
      <c r="A246" s="192" t="s">
        <v>206</v>
      </c>
      <c r="B246" s="182" t="s">
        <v>797</v>
      </c>
      <c r="C246" s="182" t="s">
        <v>210</v>
      </c>
      <c r="D246" s="182" t="s">
        <v>441</v>
      </c>
      <c r="E246" s="204" t="s">
        <v>464</v>
      </c>
      <c r="F246" s="193" t="s">
        <v>207</v>
      </c>
      <c r="G246" s="184"/>
      <c r="H246" s="251"/>
      <c r="I246" s="184">
        <f t="shared" si="11"/>
        <v>0</v>
      </c>
      <c r="J246" s="184"/>
      <c r="K246" s="251"/>
      <c r="L246" s="184">
        <f t="shared" si="12"/>
        <v>0</v>
      </c>
      <c r="M246" s="184"/>
      <c r="N246" s="251"/>
      <c r="O246" s="184">
        <f t="shared" si="13"/>
        <v>0</v>
      </c>
    </row>
    <row r="247" spans="1:15" ht="49.5" customHeight="1">
      <c r="A247" s="199" t="s">
        <v>465</v>
      </c>
      <c r="B247" s="182" t="s">
        <v>797</v>
      </c>
      <c r="C247" s="182" t="s">
        <v>210</v>
      </c>
      <c r="D247" s="182" t="s">
        <v>441</v>
      </c>
      <c r="E247" s="204" t="s">
        <v>466</v>
      </c>
      <c r="F247" s="193"/>
      <c r="G247" s="184">
        <f>G248</f>
        <v>346897</v>
      </c>
      <c r="H247" s="251"/>
      <c r="I247" s="184">
        <f t="shared" si="11"/>
        <v>346897</v>
      </c>
      <c r="J247" s="184">
        <f>J248</f>
        <v>328434</v>
      </c>
      <c r="K247" s="251"/>
      <c r="L247" s="184">
        <f t="shared" si="12"/>
        <v>328434</v>
      </c>
      <c r="M247" s="184">
        <f>M248</f>
        <v>229321</v>
      </c>
      <c r="N247" s="251"/>
      <c r="O247" s="184">
        <f t="shared" si="13"/>
        <v>229321</v>
      </c>
    </row>
    <row r="248" spans="1:15" ht="17.25" customHeight="1">
      <c r="A248" s="192" t="s">
        <v>206</v>
      </c>
      <c r="B248" s="182" t="s">
        <v>797</v>
      </c>
      <c r="C248" s="182" t="s">
        <v>210</v>
      </c>
      <c r="D248" s="182" t="s">
        <v>441</v>
      </c>
      <c r="E248" s="204" t="s">
        <v>466</v>
      </c>
      <c r="F248" s="193" t="s">
        <v>207</v>
      </c>
      <c r="G248" s="184">
        <f>346897</f>
        <v>346897</v>
      </c>
      <c r="H248" s="251"/>
      <c r="I248" s="184">
        <f t="shared" si="11"/>
        <v>346897</v>
      </c>
      <c r="J248" s="184">
        <f>328434</f>
        <v>328434</v>
      </c>
      <c r="K248" s="251"/>
      <c r="L248" s="184">
        <f t="shared" si="12"/>
        <v>328434</v>
      </c>
      <c r="M248" s="184">
        <v>229321</v>
      </c>
      <c r="N248" s="251"/>
      <c r="O248" s="184">
        <f t="shared" si="13"/>
        <v>229321</v>
      </c>
    </row>
    <row r="249" spans="1:15" ht="25.5" hidden="1">
      <c r="A249" s="220" t="s">
        <v>467</v>
      </c>
      <c r="B249" s="182" t="s">
        <v>797</v>
      </c>
      <c r="C249" s="182" t="s">
        <v>210</v>
      </c>
      <c r="D249" s="182" t="s">
        <v>441</v>
      </c>
      <c r="E249" s="204" t="s">
        <v>464</v>
      </c>
      <c r="F249" s="193"/>
      <c r="G249" s="184">
        <f>G250</f>
        <v>0</v>
      </c>
      <c r="H249" s="251"/>
      <c r="I249" s="184">
        <f t="shared" si="11"/>
        <v>0</v>
      </c>
      <c r="J249" s="184">
        <f>J250</f>
        <v>0</v>
      </c>
      <c r="K249" s="251"/>
      <c r="L249" s="184">
        <f t="shared" si="12"/>
        <v>0</v>
      </c>
      <c r="M249" s="184">
        <f>M250</f>
        <v>0</v>
      </c>
      <c r="N249" s="251"/>
      <c r="O249" s="184">
        <f t="shared" si="13"/>
        <v>0</v>
      </c>
    </row>
    <row r="250" spans="1:15" ht="23.25" customHeight="1" hidden="1">
      <c r="A250" s="192" t="s">
        <v>206</v>
      </c>
      <c r="B250" s="182" t="s">
        <v>797</v>
      </c>
      <c r="C250" s="182" t="s">
        <v>210</v>
      </c>
      <c r="D250" s="182" t="s">
        <v>441</v>
      </c>
      <c r="E250" s="204" t="s">
        <v>464</v>
      </c>
      <c r="F250" s="193" t="s">
        <v>207</v>
      </c>
      <c r="G250" s="184"/>
      <c r="H250" s="251"/>
      <c r="I250" s="184">
        <f t="shared" si="11"/>
        <v>0</v>
      </c>
      <c r="J250" s="184"/>
      <c r="K250" s="251"/>
      <c r="L250" s="184">
        <f t="shared" si="12"/>
        <v>0</v>
      </c>
      <c r="M250" s="184"/>
      <c r="N250" s="251"/>
      <c r="O250" s="184">
        <f t="shared" si="13"/>
        <v>0</v>
      </c>
    </row>
    <row r="251" spans="1:15" ht="25.5">
      <c r="A251" s="211" t="s">
        <v>468</v>
      </c>
      <c r="B251" s="182" t="s">
        <v>797</v>
      </c>
      <c r="C251" s="182" t="s">
        <v>210</v>
      </c>
      <c r="D251" s="182" t="s">
        <v>441</v>
      </c>
      <c r="E251" s="182" t="s">
        <v>469</v>
      </c>
      <c r="F251" s="193"/>
      <c r="G251" s="184">
        <f>G252+G256</f>
        <v>20000</v>
      </c>
      <c r="H251" s="251"/>
      <c r="I251" s="184">
        <f t="shared" si="11"/>
        <v>20000</v>
      </c>
      <c r="J251" s="184">
        <f>J252+J256</f>
        <v>20000</v>
      </c>
      <c r="K251" s="251"/>
      <c r="L251" s="184">
        <f t="shared" si="12"/>
        <v>20000</v>
      </c>
      <c r="M251" s="184">
        <f>M252+M256</f>
        <v>20000</v>
      </c>
      <c r="N251" s="251"/>
      <c r="O251" s="184">
        <f t="shared" si="13"/>
        <v>20000</v>
      </c>
    </row>
    <row r="252" spans="1:15" ht="65.25" customHeight="1">
      <c r="A252" s="213" t="s">
        <v>470</v>
      </c>
      <c r="B252" s="182" t="s">
        <v>797</v>
      </c>
      <c r="C252" s="182" t="s">
        <v>210</v>
      </c>
      <c r="D252" s="182" t="s">
        <v>441</v>
      </c>
      <c r="E252" s="182" t="s">
        <v>471</v>
      </c>
      <c r="F252" s="193"/>
      <c r="G252" s="184">
        <f>G253</f>
        <v>20000</v>
      </c>
      <c r="H252" s="251"/>
      <c r="I252" s="184">
        <f t="shared" si="11"/>
        <v>20000</v>
      </c>
      <c r="J252" s="184">
        <f>J253</f>
        <v>20000</v>
      </c>
      <c r="K252" s="251"/>
      <c r="L252" s="184">
        <f t="shared" si="12"/>
        <v>20000</v>
      </c>
      <c r="M252" s="184">
        <f>M253</f>
        <v>20000</v>
      </c>
      <c r="N252" s="251"/>
      <c r="O252" s="184">
        <f t="shared" si="13"/>
        <v>20000</v>
      </c>
    </row>
    <row r="253" spans="1:15" ht="21" customHeight="1">
      <c r="A253" s="197" t="s">
        <v>472</v>
      </c>
      <c r="B253" s="182" t="s">
        <v>797</v>
      </c>
      <c r="C253" s="182" t="s">
        <v>210</v>
      </c>
      <c r="D253" s="182" t="s">
        <v>441</v>
      </c>
      <c r="E253" s="182" t="s">
        <v>473</v>
      </c>
      <c r="F253" s="193"/>
      <c r="G253" s="184">
        <f>G254</f>
        <v>20000</v>
      </c>
      <c r="H253" s="251"/>
      <c r="I253" s="184">
        <f t="shared" si="11"/>
        <v>20000</v>
      </c>
      <c r="J253" s="184">
        <f>J254</f>
        <v>20000</v>
      </c>
      <c r="K253" s="251"/>
      <c r="L253" s="184">
        <f t="shared" si="12"/>
        <v>20000</v>
      </c>
      <c r="M253" s="184">
        <f>M254</f>
        <v>20000</v>
      </c>
      <c r="N253" s="251"/>
      <c r="O253" s="184">
        <f t="shared" si="13"/>
        <v>20000</v>
      </c>
    </row>
    <row r="254" spans="1:15" ht="30.75" customHeight="1">
      <c r="A254" s="191" t="s">
        <v>474</v>
      </c>
      <c r="B254" s="182" t="s">
        <v>797</v>
      </c>
      <c r="C254" s="182" t="s">
        <v>210</v>
      </c>
      <c r="D254" s="182" t="s">
        <v>441</v>
      </c>
      <c r="E254" s="182" t="s">
        <v>475</v>
      </c>
      <c r="F254" s="193"/>
      <c r="G254" s="184">
        <f>G255</f>
        <v>20000</v>
      </c>
      <c r="H254" s="251"/>
      <c r="I254" s="184">
        <f t="shared" si="11"/>
        <v>20000</v>
      </c>
      <c r="J254" s="184">
        <f>J255</f>
        <v>20000</v>
      </c>
      <c r="K254" s="251"/>
      <c r="L254" s="184">
        <f t="shared" si="12"/>
        <v>20000</v>
      </c>
      <c r="M254" s="184">
        <f>M255</f>
        <v>20000</v>
      </c>
      <c r="N254" s="251"/>
      <c r="O254" s="184">
        <f t="shared" si="13"/>
        <v>20000</v>
      </c>
    </row>
    <row r="255" spans="1:15" ht="17.25" customHeight="1">
      <c r="A255" s="192" t="s">
        <v>206</v>
      </c>
      <c r="B255" s="182" t="s">
        <v>797</v>
      </c>
      <c r="C255" s="182" t="s">
        <v>210</v>
      </c>
      <c r="D255" s="182" t="s">
        <v>441</v>
      </c>
      <c r="E255" s="182" t="s">
        <v>475</v>
      </c>
      <c r="F255" s="193" t="s">
        <v>207</v>
      </c>
      <c r="G255" s="184">
        <f>20000</f>
        <v>20000</v>
      </c>
      <c r="H255" s="251"/>
      <c r="I255" s="184">
        <f t="shared" si="11"/>
        <v>20000</v>
      </c>
      <c r="J255" s="184">
        <f>20000</f>
        <v>20000</v>
      </c>
      <c r="K255" s="251"/>
      <c r="L255" s="184">
        <f t="shared" si="12"/>
        <v>20000</v>
      </c>
      <c r="M255" s="184">
        <f>20000</f>
        <v>20000</v>
      </c>
      <c r="N255" s="251"/>
      <c r="O255" s="184">
        <f t="shared" si="13"/>
        <v>20000</v>
      </c>
    </row>
    <row r="256" spans="1:15" ht="51" hidden="1">
      <c r="A256" s="197" t="s">
        <v>476</v>
      </c>
      <c r="B256" s="182" t="s">
        <v>797</v>
      </c>
      <c r="C256" s="182" t="s">
        <v>210</v>
      </c>
      <c r="D256" s="182" t="s">
        <v>441</v>
      </c>
      <c r="E256" s="182" t="s">
        <v>477</v>
      </c>
      <c r="F256" s="193"/>
      <c r="G256" s="184">
        <f>G257</f>
        <v>0</v>
      </c>
      <c r="H256" s="251"/>
      <c r="I256" s="184">
        <f t="shared" si="11"/>
        <v>0</v>
      </c>
      <c r="J256" s="184">
        <f>J257</f>
        <v>0</v>
      </c>
      <c r="K256" s="251"/>
      <c r="L256" s="184">
        <f t="shared" si="12"/>
        <v>0</v>
      </c>
      <c r="M256" s="184">
        <f>M257</f>
        <v>0</v>
      </c>
      <c r="N256" s="251"/>
      <c r="O256" s="184">
        <f t="shared" si="13"/>
        <v>0</v>
      </c>
    </row>
    <row r="257" spans="1:15" ht="25.5" hidden="1">
      <c r="A257" s="197" t="s">
        <v>478</v>
      </c>
      <c r="B257" s="182" t="s">
        <v>797</v>
      </c>
      <c r="C257" s="182" t="s">
        <v>210</v>
      </c>
      <c r="D257" s="182" t="s">
        <v>441</v>
      </c>
      <c r="E257" s="182" t="s">
        <v>479</v>
      </c>
      <c r="F257" s="193"/>
      <c r="G257" s="184">
        <f>G258</f>
        <v>0</v>
      </c>
      <c r="H257" s="251"/>
      <c r="I257" s="184">
        <f t="shared" si="11"/>
        <v>0</v>
      </c>
      <c r="J257" s="184">
        <f>J258</f>
        <v>0</v>
      </c>
      <c r="K257" s="251"/>
      <c r="L257" s="184">
        <f t="shared" si="12"/>
        <v>0</v>
      </c>
      <c r="M257" s="184">
        <f>M258</f>
        <v>0</v>
      </c>
      <c r="N257" s="251"/>
      <c r="O257" s="184">
        <f t="shared" si="13"/>
        <v>0</v>
      </c>
    </row>
    <row r="258" spans="1:15" ht="25.5" hidden="1">
      <c r="A258" s="192" t="s">
        <v>480</v>
      </c>
      <c r="B258" s="182" t="s">
        <v>797</v>
      </c>
      <c r="C258" s="182" t="s">
        <v>210</v>
      </c>
      <c r="D258" s="182" t="s">
        <v>441</v>
      </c>
      <c r="E258" s="182" t="s">
        <v>481</v>
      </c>
      <c r="F258" s="193"/>
      <c r="G258" s="184">
        <f>G259</f>
        <v>0</v>
      </c>
      <c r="H258" s="251"/>
      <c r="I258" s="184">
        <f t="shared" si="11"/>
        <v>0</v>
      </c>
      <c r="J258" s="184">
        <f>J259</f>
        <v>0</v>
      </c>
      <c r="K258" s="251"/>
      <c r="L258" s="184">
        <f t="shared" si="12"/>
        <v>0</v>
      </c>
      <c r="M258" s="184">
        <f>M259</f>
        <v>0</v>
      </c>
      <c r="N258" s="251"/>
      <c r="O258" s="184">
        <f t="shared" si="13"/>
        <v>0</v>
      </c>
    </row>
    <row r="259" spans="1:15" ht="15" hidden="1">
      <c r="A259" s="192" t="s">
        <v>274</v>
      </c>
      <c r="B259" s="182" t="s">
        <v>797</v>
      </c>
      <c r="C259" s="182" t="s">
        <v>210</v>
      </c>
      <c r="D259" s="182" t="s">
        <v>441</v>
      </c>
      <c r="E259" s="182" t="s">
        <v>481</v>
      </c>
      <c r="F259" s="193" t="s">
        <v>275</v>
      </c>
      <c r="G259" s="184"/>
      <c r="H259" s="251"/>
      <c r="I259" s="184">
        <f t="shared" si="11"/>
        <v>0</v>
      </c>
      <c r="J259" s="184"/>
      <c r="K259" s="251"/>
      <c r="L259" s="184">
        <f t="shared" si="12"/>
        <v>0</v>
      </c>
      <c r="M259" s="184"/>
      <c r="N259" s="251"/>
      <c r="O259" s="184">
        <f t="shared" si="13"/>
        <v>0</v>
      </c>
    </row>
    <row r="260" spans="1:15" ht="15">
      <c r="A260" s="192" t="s">
        <v>482</v>
      </c>
      <c r="B260" s="182" t="s">
        <v>797</v>
      </c>
      <c r="C260" s="182" t="s">
        <v>258</v>
      </c>
      <c r="D260" s="182"/>
      <c r="E260" s="182"/>
      <c r="F260" s="193"/>
      <c r="G260" s="184">
        <f>G267+G261</f>
        <v>49000</v>
      </c>
      <c r="H260" s="251"/>
      <c r="I260" s="184">
        <f t="shared" si="11"/>
        <v>49000</v>
      </c>
      <c r="J260" s="184">
        <f>J267+J261</f>
        <v>49000</v>
      </c>
      <c r="K260" s="251"/>
      <c r="L260" s="184">
        <f t="shared" si="12"/>
        <v>49000</v>
      </c>
      <c r="M260" s="184">
        <f>M267+M261</f>
        <v>49000</v>
      </c>
      <c r="N260" s="251"/>
      <c r="O260" s="184">
        <f t="shared" si="13"/>
        <v>49000</v>
      </c>
    </row>
    <row r="261" spans="1:15" ht="15">
      <c r="A261" s="192" t="s">
        <v>483</v>
      </c>
      <c r="B261" s="182" t="s">
        <v>797</v>
      </c>
      <c r="C261" s="182" t="s">
        <v>258</v>
      </c>
      <c r="D261" s="182" t="s">
        <v>185</v>
      </c>
      <c r="E261" s="182"/>
      <c r="F261" s="193"/>
      <c r="G261" s="184">
        <f>G262</f>
        <v>49000</v>
      </c>
      <c r="H261" s="251"/>
      <c r="I261" s="184">
        <f t="shared" si="11"/>
        <v>49000</v>
      </c>
      <c r="J261" s="184">
        <f>J262</f>
        <v>49000</v>
      </c>
      <c r="K261" s="251"/>
      <c r="L261" s="184">
        <f t="shared" si="12"/>
        <v>49000</v>
      </c>
      <c r="M261" s="184">
        <f>M262</f>
        <v>49000</v>
      </c>
      <c r="N261" s="251"/>
      <c r="O261" s="184">
        <f t="shared" si="13"/>
        <v>49000</v>
      </c>
    </row>
    <row r="262" spans="1:15" ht="45.75" customHeight="1">
      <c r="A262" s="221" t="s">
        <v>484</v>
      </c>
      <c r="B262" s="182" t="s">
        <v>797</v>
      </c>
      <c r="C262" s="182" t="s">
        <v>258</v>
      </c>
      <c r="D262" s="182" t="s">
        <v>185</v>
      </c>
      <c r="E262" s="207" t="s">
        <v>456</v>
      </c>
      <c r="F262" s="193"/>
      <c r="G262" s="184">
        <f>G263</f>
        <v>49000</v>
      </c>
      <c r="H262" s="251"/>
      <c r="I262" s="184">
        <f t="shared" si="11"/>
        <v>49000</v>
      </c>
      <c r="J262" s="184">
        <f>J263</f>
        <v>49000</v>
      </c>
      <c r="K262" s="251"/>
      <c r="L262" s="184">
        <f t="shared" si="12"/>
        <v>49000</v>
      </c>
      <c r="M262" s="184">
        <f>M263</f>
        <v>49000</v>
      </c>
      <c r="N262" s="251"/>
      <c r="O262" s="184">
        <f t="shared" si="13"/>
        <v>49000</v>
      </c>
    </row>
    <row r="263" spans="1:15" ht="75.75" customHeight="1">
      <c r="A263" s="220" t="s">
        <v>485</v>
      </c>
      <c r="B263" s="182" t="s">
        <v>797</v>
      </c>
      <c r="C263" s="182" t="s">
        <v>258</v>
      </c>
      <c r="D263" s="182" t="s">
        <v>185</v>
      </c>
      <c r="E263" s="207" t="s">
        <v>486</v>
      </c>
      <c r="F263" s="193"/>
      <c r="G263" s="184">
        <f>G264</f>
        <v>49000</v>
      </c>
      <c r="H263" s="251"/>
      <c r="I263" s="184">
        <f t="shared" si="11"/>
        <v>49000</v>
      </c>
      <c r="J263" s="184">
        <f>J264</f>
        <v>49000</v>
      </c>
      <c r="K263" s="251"/>
      <c r="L263" s="184">
        <f t="shared" si="12"/>
        <v>49000</v>
      </c>
      <c r="M263" s="184">
        <f>M264</f>
        <v>49000</v>
      </c>
      <c r="N263" s="251"/>
      <c r="O263" s="184">
        <f t="shared" si="13"/>
        <v>49000</v>
      </c>
    </row>
    <row r="264" spans="1:18" ht="15">
      <c r="A264" s="192" t="s">
        <v>487</v>
      </c>
      <c r="B264" s="182" t="s">
        <v>797</v>
      </c>
      <c r="C264" s="182" t="s">
        <v>258</v>
      </c>
      <c r="D264" s="182" t="s">
        <v>185</v>
      </c>
      <c r="E264" s="207" t="s">
        <v>488</v>
      </c>
      <c r="F264" s="193"/>
      <c r="G264" s="184">
        <f>G265</f>
        <v>49000</v>
      </c>
      <c r="H264" s="251"/>
      <c r="I264" s="184">
        <f t="shared" si="11"/>
        <v>49000</v>
      </c>
      <c r="J264" s="184">
        <f>J265</f>
        <v>49000</v>
      </c>
      <c r="K264" s="251"/>
      <c r="L264" s="184">
        <f t="shared" si="12"/>
        <v>49000</v>
      </c>
      <c r="M264" s="184">
        <f>M265</f>
        <v>49000</v>
      </c>
      <c r="N264" s="251"/>
      <c r="O264" s="184">
        <f t="shared" si="13"/>
        <v>49000</v>
      </c>
      <c r="Q264" s="194"/>
      <c r="R264" s="194"/>
    </row>
    <row r="265" spans="1:15" ht="20.25" customHeight="1">
      <c r="A265" s="192" t="s">
        <v>448</v>
      </c>
      <c r="B265" s="182" t="s">
        <v>797</v>
      </c>
      <c r="C265" s="182" t="s">
        <v>258</v>
      </c>
      <c r="D265" s="182" t="s">
        <v>185</v>
      </c>
      <c r="E265" s="207" t="s">
        <v>489</v>
      </c>
      <c r="F265" s="193"/>
      <c r="G265" s="184">
        <f>G266</f>
        <v>49000</v>
      </c>
      <c r="H265" s="251"/>
      <c r="I265" s="184">
        <f t="shared" si="11"/>
        <v>49000</v>
      </c>
      <c r="J265" s="184">
        <f>J266</f>
        <v>49000</v>
      </c>
      <c r="K265" s="251"/>
      <c r="L265" s="184">
        <f t="shared" si="12"/>
        <v>49000</v>
      </c>
      <c r="M265" s="184">
        <f>M266</f>
        <v>49000</v>
      </c>
      <c r="N265" s="251"/>
      <c r="O265" s="184">
        <f t="shared" si="13"/>
        <v>49000</v>
      </c>
    </row>
    <row r="266" spans="1:15" ht="23.25" customHeight="1">
      <c r="A266" s="192" t="s">
        <v>206</v>
      </c>
      <c r="B266" s="182" t="s">
        <v>797</v>
      </c>
      <c r="C266" s="182" t="s">
        <v>258</v>
      </c>
      <c r="D266" s="182" t="s">
        <v>185</v>
      </c>
      <c r="E266" s="207" t="s">
        <v>489</v>
      </c>
      <c r="F266" s="193" t="s">
        <v>207</v>
      </c>
      <c r="G266" s="184">
        <v>49000</v>
      </c>
      <c r="H266" s="251"/>
      <c r="I266" s="184">
        <f t="shared" si="11"/>
        <v>49000</v>
      </c>
      <c r="J266" s="184">
        <v>49000</v>
      </c>
      <c r="K266" s="251"/>
      <c r="L266" s="184">
        <f t="shared" si="12"/>
        <v>49000</v>
      </c>
      <c r="M266" s="184">
        <v>49000</v>
      </c>
      <c r="N266" s="251"/>
      <c r="O266" s="184">
        <f t="shared" si="13"/>
        <v>49000</v>
      </c>
    </row>
    <row r="267" spans="1:15" ht="15" hidden="1">
      <c r="A267" s="192" t="s">
        <v>490</v>
      </c>
      <c r="B267" s="182" t="s">
        <v>797</v>
      </c>
      <c r="C267" s="182" t="s">
        <v>258</v>
      </c>
      <c r="D267" s="182" t="s">
        <v>187</v>
      </c>
      <c r="E267" s="182"/>
      <c r="F267" s="193"/>
      <c r="G267" s="184">
        <f>G268+G277</f>
        <v>0</v>
      </c>
      <c r="H267" s="251"/>
      <c r="I267" s="184">
        <f aca="true" t="shared" si="14" ref="I267:I330">G267+H267</f>
        <v>0</v>
      </c>
      <c r="J267" s="184">
        <f>J268+J277</f>
        <v>0</v>
      </c>
      <c r="K267" s="251"/>
      <c r="L267" s="184">
        <f t="shared" si="12"/>
        <v>0</v>
      </c>
      <c r="M267" s="184">
        <f>M268+M277</f>
        <v>0</v>
      </c>
      <c r="N267" s="251"/>
      <c r="O267" s="184">
        <f t="shared" si="13"/>
        <v>0</v>
      </c>
    </row>
    <row r="268" spans="1:15" ht="38.25" hidden="1">
      <c r="A268" s="197" t="s">
        <v>491</v>
      </c>
      <c r="B268" s="182" t="s">
        <v>797</v>
      </c>
      <c r="C268" s="182" t="s">
        <v>258</v>
      </c>
      <c r="D268" s="182" t="s">
        <v>187</v>
      </c>
      <c r="E268" s="207" t="s">
        <v>492</v>
      </c>
      <c r="F268" s="193"/>
      <c r="G268" s="184">
        <f>G269</f>
        <v>0</v>
      </c>
      <c r="H268" s="251"/>
      <c r="I268" s="184">
        <f t="shared" si="14"/>
        <v>0</v>
      </c>
      <c r="J268" s="184">
        <f>J269</f>
        <v>0</v>
      </c>
      <c r="K268" s="251"/>
      <c r="L268" s="184">
        <f t="shared" si="12"/>
        <v>0</v>
      </c>
      <c r="M268" s="184">
        <f>M269</f>
        <v>0</v>
      </c>
      <c r="N268" s="251"/>
      <c r="O268" s="184">
        <f t="shared" si="13"/>
        <v>0</v>
      </c>
    </row>
    <row r="269" spans="1:15" ht="51" hidden="1">
      <c r="A269" s="221" t="s">
        <v>493</v>
      </c>
      <c r="B269" s="182" t="s">
        <v>797</v>
      </c>
      <c r="C269" s="182" t="s">
        <v>258</v>
      </c>
      <c r="D269" s="182" t="s">
        <v>187</v>
      </c>
      <c r="E269" s="207" t="s">
        <v>494</v>
      </c>
      <c r="F269" s="193"/>
      <c r="G269" s="184">
        <f>G270</f>
        <v>0</v>
      </c>
      <c r="H269" s="251"/>
      <c r="I269" s="184">
        <f t="shared" si="14"/>
        <v>0</v>
      </c>
      <c r="J269" s="184">
        <f>J270</f>
        <v>0</v>
      </c>
      <c r="K269" s="251"/>
      <c r="L269" s="184">
        <f t="shared" si="12"/>
        <v>0</v>
      </c>
      <c r="M269" s="184">
        <f>M270</f>
        <v>0</v>
      </c>
      <c r="N269" s="251"/>
      <c r="O269" s="184">
        <f t="shared" si="13"/>
        <v>0</v>
      </c>
    </row>
    <row r="270" spans="1:15" ht="15" hidden="1">
      <c r="A270" s="199" t="s">
        <v>495</v>
      </c>
      <c r="B270" s="182" t="s">
        <v>797</v>
      </c>
      <c r="C270" s="182" t="s">
        <v>258</v>
      </c>
      <c r="D270" s="182" t="s">
        <v>187</v>
      </c>
      <c r="E270" s="207" t="s">
        <v>496</v>
      </c>
      <c r="F270" s="193"/>
      <c r="G270" s="184">
        <f>G271+G273+G275</f>
        <v>0</v>
      </c>
      <c r="H270" s="251"/>
      <c r="I270" s="184">
        <f t="shared" si="14"/>
        <v>0</v>
      </c>
      <c r="J270" s="184">
        <f>J271+J273+J275</f>
        <v>0</v>
      </c>
      <c r="K270" s="251"/>
      <c r="L270" s="184">
        <f t="shared" si="12"/>
        <v>0</v>
      </c>
      <c r="M270" s="184">
        <f>M271+M273+M275</f>
        <v>0</v>
      </c>
      <c r="N270" s="251"/>
      <c r="O270" s="184">
        <f t="shared" si="13"/>
        <v>0</v>
      </c>
    </row>
    <row r="271" spans="1:15" ht="30.75" customHeight="1" hidden="1">
      <c r="A271" s="200" t="s">
        <v>497</v>
      </c>
      <c r="B271" s="182" t="s">
        <v>797</v>
      </c>
      <c r="C271" s="182" t="s">
        <v>258</v>
      </c>
      <c r="D271" s="182" t="s">
        <v>187</v>
      </c>
      <c r="E271" s="207" t="s">
        <v>498</v>
      </c>
      <c r="F271" s="193"/>
      <c r="G271" s="184">
        <f>G272</f>
        <v>0</v>
      </c>
      <c r="H271" s="251"/>
      <c r="I271" s="184">
        <f t="shared" si="14"/>
        <v>0</v>
      </c>
      <c r="J271" s="184">
        <f>J272</f>
        <v>0</v>
      </c>
      <c r="K271" s="251"/>
      <c r="L271" s="184">
        <f t="shared" si="12"/>
        <v>0</v>
      </c>
      <c r="M271" s="184">
        <f>M272</f>
        <v>0</v>
      </c>
      <c r="N271" s="251"/>
      <c r="O271" s="184">
        <f t="shared" si="13"/>
        <v>0</v>
      </c>
    </row>
    <row r="272" spans="1:15" ht="15" hidden="1">
      <c r="A272" s="199" t="s">
        <v>429</v>
      </c>
      <c r="B272" s="182" t="s">
        <v>797</v>
      </c>
      <c r="C272" s="182" t="s">
        <v>258</v>
      </c>
      <c r="D272" s="182" t="s">
        <v>187</v>
      </c>
      <c r="E272" s="207" t="s">
        <v>498</v>
      </c>
      <c r="F272" s="193" t="s">
        <v>430</v>
      </c>
      <c r="G272" s="184"/>
      <c r="H272" s="251"/>
      <c r="I272" s="184">
        <f t="shared" si="14"/>
        <v>0</v>
      </c>
      <c r="J272" s="184"/>
      <c r="K272" s="251"/>
      <c r="L272" s="184">
        <f t="shared" si="12"/>
        <v>0</v>
      </c>
      <c r="M272" s="184"/>
      <c r="N272" s="251"/>
      <c r="O272" s="184">
        <f t="shared" si="13"/>
        <v>0</v>
      </c>
    </row>
    <row r="273" spans="1:15" ht="38.25" hidden="1">
      <c r="A273" s="196" t="s">
        <v>499</v>
      </c>
      <c r="B273" s="182" t="s">
        <v>797</v>
      </c>
      <c r="C273" s="182" t="s">
        <v>258</v>
      </c>
      <c r="D273" s="182" t="s">
        <v>187</v>
      </c>
      <c r="E273" s="207" t="s">
        <v>500</v>
      </c>
      <c r="F273" s="193"/>
      <c r="G273" s="184">
        <f>G274</f>
        <v>0</v>
      </c>
      <c r="H273" s="251"/>
      <c r="I273" s="184">
        <f t="shared" si="14"/>
        <v>0</v>
      </c>
      <c r="J273" s="184">
        <f>J274</f>
        <v>0</v>
      </c>
      <c r="K273" s="251"/>
      <c r="L273" s="184">
        <f t="shared" si="12"/>
        <v>0</v>
      </c>
      <c r="M273" s="184">
        <f>M274</f>
        <v>0</v>
      </c>
      <c r="N273" s="251"/>
      <c r="O273" s="184">
        <f t="shared" si="13"/>
        <v>0</v>
      </c>
    </row>
    <row r="274" spans="1:15" ht="15" hidden="1">
      <c r="A274" s="199" t="s">
        <v>429</v>
      </c>
      <c r="B274" s="182" t="s">
        <v>797</v>
      </c>
      <c r="C274" s="182" t="s">
        <v>258</v>
      </c>
      <c r="D274" s="182" t="s">
        <v>187</v>
      </c>
      <c r="E274" s="207" t="s">
        <v>500</v>
      </c>
      <c r="F274" s="193" t="s">
        <v>430</v>
      </c>
      <c r="G274" s="184"/>
      <c r="H274" s="251"/>
      <c r="I274" s="184">
        <f t="shared" si="14"/>
        <v>0</v>
      </c>
      <c r="J274" s="184"/>
      <c r="K274" s="251"/>
      <c r="L274" s="184">
        <f>J274+K274</f>
        <v>0</v>
      </c>
      <c r="M274" s="184"/>
      <c r="N274" s="251"/>
      <c r="O274" s="184">
        <f>M274+N274</f>
        <v>0</v>
      </c>
    </row>
    <row r="275" spans="1:15" ht="25.5" hidden="1">
      <c r="A275" s="196" t="s">
        <v>501</v>
      </c>
      <c r="B275" s="182" t="s">
        <v>797</v>
      </c>
      <c r="C275" s="182" t="s">
        <v>258</v>
      </c>
      <c r="D275" s="182" t="s">
        <v>187</v>
      </c>
      <c r="E275" s="207" t="s">
        <v>502</v>
      </c>
      <c r="F275" s="193"/>
      <c r="G275" s="184">
        <f>G276</f>
        <v>0</v>
      </c>
      <c r="H275" s="251"/>
      <c r="I275" s="184">
        <f t="shared" si="14"/>
        <v>0</v>
      </c>
      <c r="J275" s="184">
        <f>J276</f>
        <v>0</v>
      </c>
      <c r="K275" s="251"/>
      <c r="L275" s="184">
        <f>J275+K275</f>
        <v>0</v>
      </c>
      <c r="M275" s="184">
        <f>M276</f>
        <v>0</v>
      </c>
      <c r="N275" s="251"/>
      <c r="O275" s="184">
        <f>M275+N275</f>
        <v>0</v>
      </c>
    </row>
    <row r="276" spans="1:15" ht="15" hidden="1">
      <c r="A276" s="199" t="s">
        <v>429</v>
      </c>
      <c r="B276" s="182" t="s">
        <v>797</v>
      </c>
      <c r="C276" s="182" t="s">
        <v>258</v>
      </c>
      <c r="D276" s="182" t="s">
        <v>187</v>
      </c>
      <c r="E276" s="207" t="s">
        <v>502</v>
      </c>
      <c r="F276" s="193" t="s">
        <v>430</v>
      </c>
      <c r="G276" s="184"/>
      <c r="H276" s="251"/>
      <c r="I276" s="184">
        <f t="shared" si="14"/>
        <v>0</v>
      </c>
      <c r="J276" s="184"/>
      <c r="K276" s="251"/>
      <c r="L276" s="184">
        <f>J276+K276</f>
        <v>0</v>
      </c>
      <c r="M276" s="184"/>
      <c r="N276" s="251"/>
      <c r="O276" s="184">
        <f>M276+N276</f>
        <v>0</v>
      </c>
    </row>
    <row r="277" spans="1:15" ht="42" customHeight="1" hidden="1">
      <c r="A277" s="221" t="s">
        <v>484</v>
      </c>
      <c r="B277" s="182" t="s">
        <v>797</v>
      </c>
      <c r="C277" s="182" t="s">
        <v>258</v>
      </c>
      <c r="D277" s="182" t="s">
        <v>187</v>
      </c>
      <c r="E277" s="207" t="s">
        <v>456</v>
      </c>
      <c r="F277" s="193"/>
      <c r="G277" s="184">
        <f>G278</f>
        <v>0</v>
      </c>
      <c r="H277" s="251"/>
      <c r="I277" s="184">
        <f t="shared" si="14"/>
        <v>0</v>
      </c>
      <c r="J277" s="184">
        <f>J278</f>
        <v>0</v>
      </c>
      <c r="K277" s="251"/>
      <c r="L277" s="184">
        <f aca="true" t="shared" si="15" ref="L277:L386">J277+K277</f>
        <v>0</v>
      </c>
      <c r="M277" s="184">
        <f>M278</f>
        <v>0</v>
      </c>
      <c r="N277" s="251"/>
      <c r="O277" s="184">
        <f aca="true" t="shared" si="16" ref="O277:O313">M277+N277</f>
        <v>0</v>
      </c>
    </row>
    <row r="278" spans="1:15" ht="63.75" hidden="1">
      <c r="A278" s="220" t="s">
        <v>485</v>
      </c>
      <c r="B278" s="182" t="s">
        <v>797</v>
      </c>
      <c r="C278" s="182" t="s">
        <v>258</v>
      </c>
      <c r="D278" s="182" t="s">
        <v>187</v>
      </c>
      <c r="E278" s="207" t="s">
        <v>486</v>
      </c>
      <c r="F278" s="193"/>
      <c r="G278" s="184">
        <f>G284+G291</f>
        <v>0</v>
      </c>
      <c r="H278" s="251"/>
      <c r="I278" s="184">
        <f t="shared" si="14"/>
        <v>0</v>
      </c>
      <c r="J278" s="184">
        <f>J284+J291</f>
        <v>0</v>
      </c>
      <c r="K278" s="251"/>
      <c r="L278" s="184">
        <f t="shared" si="15"/>
        <v>0</v>
      </c>
      <c r="M278" s="184">
        <f>M284+M291</f>
        <v>0</v>
      </c>
      <c r="N278" s="251"/>
      <c r="O278" s="184">
        <f t="shared" si="16"/>
        <v>0</v>
      </c>
    </row>
    <row r="279" spans="1:15" ht="25.5" hidden="1">
      <c r="A279" s="199" t="s">
        <v>503</v>
      </c>
      <c r="B279" s="182" t="s">
        <v>797</v>
      </c>
      <c r="C279" s="182" t="s">
        <v>258</v>
      </c>
      <c r="D279" s="182" t="s">
        <v>187</v>
      </c>
      <c r="E279" s="204" t="s">
        <v>504</v>
      </c>
      <c r="F279" s="193"/>
      <c r="G279" s="184">
        <f>G280+G282</f>
        <v>0</v>
      </c>
      <c r="H279" s="251"/>
      <c r="I279" s="184">
        <f t="shared" si="14"/>
        <v>0</v>
      </c>
      <c r="J279" s="184">
        <f>J280+J282</f>
        <v>0</v>
      </c>
      <c r="K279" s="251"/>
      <c r="L279" s="184">
        <f t="shared" si="15"/>
        <v>0</v>
      </c>
      <c r="M279" s="184">
        <f>M280+M282</f>
        <v>0</v>
      </c>
      <c r="N279" s="251"/>
      <c r="O279" s="184">
        <f t="shared" si="16"/>
        <v>0</v>
      </c>
    </row>
    <row r="280" spans="1:15" ht="23.25" customHeight="1" hidden="1">
      <c r="A280" s="200" t="s">
        <v>505</v>
      </c>
      <c r="B280" s="182" t="s">
        <v>797</v>
      </c>
      <c r="C280" s="182" t="s">
        <v>258</v>
      </c>
      <c r="D280" s="182" t="s">
        <v>187</v>
      </c>
      <c r="E280" s="204" t="s">
        <v>506</v>
      </c>
      <c r="F280" s="193"/>
      <c r="G280" s="184">
        <f>G281</f>
        <v>0</v>
      </c>
      <c r="H280" s="251"/>
      <c r="I280" s="184">
        <f t="shared" si="14"/>
        <v>0</v>
      </c>
      <c r="J280" s="184">
        <f>J281</f>
        <v>0</v>
      </c>
      <c r="K280" s="251"/>
      <c r="L280" s="184">
        <f t="shared" si="15"/>
        <v>0</v>
      </c>
      <c r="M280" s="184">
        <f>M281</f>
        <v>0</v>
      </c>
      <c r="N280" s="251"/>
      <c r="O280" s="184">
        <f t="shared" si="16"/>
        <v>0</v>
      </c>
    </row>
    <row r="281" spans="1:15" ht="15" hidden="1">
      <c r="A281" s="220" t="s">
        <v>507</v>
      </c>
      <c r="B281" s="182" t="s">
        <v>797</v>
      </c>
      <c r="C281" s="182" t="s">
        <v>258</v>
      </c>
      <c r="D281" s="182" t="s">
        <v>187</v>
      </c>
      <c r="E281" s="204" t="s">
        <v>506</v>
      </c>
      <c r="F281" s="193" t="s">
        <v>508</v>
      </c>
      <c r="G281" s="184"/>
      <c r="H281" s="251"/>
      <c r="I281" s="184">
        <f t="shared" si="14"/>
        <v>0</v>
      </c>
      <c r="J281" s="184"/>
      <c r="K281" s="251"/>
      <c r="L281" s="184">
        <f t="shared" si="15"/>
        <v>0</v>
      </c>
      <c r="M281" s="184"/>
      <c r="N281" s="251"/>
      <c r="O281" s="184">
        <f t="shared" si="16"/>
        <v>0</v>
      </c>
    </row>
    <row r="282" spans="1:15" ht="25.5" hidden="1">
      <c r="A282" s="200" t="s">
        <v>509</v>
      </c>
      <c r="B282" s="182" t="s">
        <v>797</v>
      </c>
      <c r="C282" s="182" t="s">
        <v>258</v>
      </c>
      <c r="D282" s="182" t="s">
        <v>187</v>
      </c>
      <c r="E282" s="204" t="s">
        <v>510</v>
      </c>
      <c r="F282" s="193"/>
      <c r="G282" s="184">
        <f>G283</f>
        <v>0</v>
      </c>
      <c r="H282" s="251"/>
      <c r="I282" s="184">
        <f t="shared" si="14"/>
        <v>0</v>
      </c>
      <c r="J282" s="184">
        <f>J283</f>
        <v>0</v>
      </c>
      <c r="K282" s="251"/>
      <c r="L282" s="184">
        <f t="shared" si="15"/>
        <v>0</v>
      </c>
      <c r="M282" s="184">
        <f>M283</f>
        <v>0</v>
      </c>
      <c r="N282" s="251"/>
      <c r="O282" s="184">
        <f t="shared" si="16"/>
        <v>0</v>
      </c>
    </row>
    <row r="283" spans="1:15" ht="15" hidden="1">
      <c r="A283" s="220" t="s">
        <v>507</v>
      </c>
      <c r="B283" s="182" t="s">
        <v>797</v>
      </c>
      <c r="C283" s="182" t="s">
        <v>258</v>
      </c>
      <c r="D283" s="182" t="s">
        <v>187</v>
      </c>
      <c r="E283" s="204" t="s">
        <v>510</v>
      </c>
      <c r="F283" s="193" t="s">
        <v>508</v>
      </c>
      <c r="G283" s="184"/>
      <c r="H283" s="251"/>
      <c r="I283" s="184">
        <f t="shared" si="14"/>
        <v>0</v>
      </c>
      <c r="J283" s="184"/>
      <c r="K283" s="251"/>
      <c r="L283" s="184">
        <f t="shared" si="15"/>
        <v>0</v>
      </c>
      <c r="M283" s="184"/>
      <c r="N283" s="251"/>
      <c r="O283" s="184">
        <f t="shared" si="16"/>
        <v>0</v>
      </c>
    </row>
    <row r="284" spans="1:15" ht="30.75" customHeight="1" hidden="1">
      <c r="A284" s="199" t="s">
        <v>511</v>
      </c>
      <c r="B284" s="182" t="s">
        <v>797</v>
      </c>
      <c r="C284" s="182" t="s">
        <v>258</v>
      </c>
      <c r="D284" s="182" t="s">
        <v>187</v>
      </c>
      <c r="E284" s="204" t="s">
        <v>512</v>
      </c>
      <c r="F284" s="193"/>
      <c r="G284" s="184">
        <f>G285+G289</f>
        <v>0</v>
      </c>
      <c r="H284" s="251"/>
      <c r="I284" s="184">
        <f t="shared" si="14"/>
        <v>0</v>
      </c>
      <c r="J284" s="184">
        <f>J285+J289</f>
        <v>0</v>
      </c>
      <c r="K284" s="251"/>
      <c r="L284" s="184">
        <f t="shared" si="15"/>
        <v>0</v>
      </c>
      <c r="M284" s="184">
        <f>M285+M289</f>
        <v>0</v>
      </c>
      <c r="N284" s="251"/>
      <c r="O284" s="184">
        <f t="shared" si="16"/>
        <v>0</v>
      </c>
    </row>
    <row r="285" spans="1:15" ht="25.5" hidden="1">
      <c r="A285" s="199" t="s">
        <v>513</v>
      </c>
      <c r="B285" s="182" t="s">
        <v>797</v>
      </c>
      <c r="C285" s="182" t="s">
        <v>258</v>
      </c>
      <c r="D285" s="182" t="s">
        <v>187</v>
      </c>
      <c r="E285" s="204" t="s">
        <v>514</v>
      </c>
      <c r="F285" s="193"/>
      <c r="G285" s="184">
        <f>G286+G288+G287</f>
        <v>0</v>
      </c>
      <c r="H285" s="251"/>
      <c r="I285" s="184">
        <f t="shared" si="14"/>
        <v>0</v>
      </c>
      <c r="J285" s="184">
        <f>J286+J288+J287</f>
        <v>0</v>
      </c>
      <c r="K285" s="251"/>
      <c r="L285" s="184">
        <f t="shared" si="15"/>
        <v>0</v>
      </c>
      <c r="M285" s="184">
        <f>M286+M288+M287</f>
        <v>0</v>
      </c>
      <c r="N285" s="251"/>
      <c r="O285" s="184">
        <f t="shared" si="16"/>
        <v>0</v>
      </c>
    </row>
    <row r="286" spans="1:15" ht="21.75" customHeight="1" hidden="1">
      <c r="A286" s="192" t="s">
        <v>252</v>
      </c>
      <c r="B286" s="182" t="s">
        <v>797</v>
      </c>
      <c r="C286" s="182" t="s">
        <v>258</v>
      </c>
      <c r="D286" s="182" t="s">
        <v>187</v>
      </c>
      <c r="E286" s="204" t="s">
        <v>514</v>
      </c>
      <c r="F286" s="193" t="s">
        <v>207</v>
      </c>
      <c r="G286" s="184">
        <f>447443-447443</f>
        <v>0</v>
      </c>
      <c r="H286" s="251"/>
      <c r="I286" s="184">
        <f t="shared" si="14"/>
        <v>0</v>
      </c>
      <c r="J286" s="184">
        <f>447443-447443</f>
        <v>0</v>
      </c>
      <c r="K286" s="251"/>
      <c r="L286" s="184">
        <f t="shared" si="15"/>
        <v>0</v>
      </c>
      <c r="M286" s="184">
        <f>447443-447443</f>
        <v>0</v>
      </c>
      <c r="N286" s="251"/>
      <c r="O286" s="184">
        <f t="shared" si="16"/>
        <v>0</v>
      </c>
    </row>
    <row r="287" spans="1:15" ht="15" hidden="1">
      <c r="A287" s="199" t="s">
        <v>429</v>
      </c>
      <c r="B287" s="182" t="s">
        <v>797</v>
      </c>
      <c r="C287" s="182" t="s">
        <v>258</v>
      </c>
      <c r="D287" s="182" t="s">
        <v>187</v>
      </c>
      <c r="E287" s="204" t="s">
        <v>514</v>
      </c>
      <c r="F287" s="193" t="s">
        <v>430</v>
      </c>
      <c r="G287" s="184"/>
      <c r="H287" s="251"/>
      <c r="I287" s="184">
        <f t="shared" si="14"/>
        <v>0</v>
      </c>
      <c r="J287" s="184"/>
      <c r="K287" s="251"/>
      <c r="L287" s="184">
        <f t="shared" si="15"/>
        <v>0</v>
      </c>
      <c r="M287" s="184"/>
      <c r="N287" s="251"/>
      <c r="O287" s="184">
        <f t="shared" si="16"/>
        <v>0</v>
      </c>
    </row>
    <row r="288" spans="1:15" ht="15" hidden="1">
      <c r="A288" s="192" t="s">
        <v>274</v>
      </c>
      <c r="B288" s="182" t="s">
        <v>797</v>
      </c>
      <c r="C288" s="182" t="s">
        <v>258</v>
      </c>
      <c r="D288" s="182" t="s">
        <v>187</v>
      </c>
      <c r="E288" s="204" t="s">
        <v>514</v>
      </c>
      <c r="F288" s="193" t="s">
        <v>275</v>
      </c>
      <c r="G288" s="184"/>
      <c r="H288" s="251"/>
      <c r="I288" s="184">
        <f t="shared" si="14"/>
        <v>0</v>
      </c>
      <c r="J288" s="184"/>
      <c r="K288" s="251"/>
      <c r="L288" s="184">
        <f t="shared" si="15"/>
        <v>0</v>
      </c>
      <c r="M288" s="184"/>
      <c r="N288" s="251"/>
      <c r="O288" s="184">
        <f t="shared" si="16"/>
        <v>0</v>
      </c>
    </row>
    <row r="289" spans="1:15" ht="38.25" hidden="1">
      <c r="A289" s="191" t="s">
        <v>515</v>
      </c>
      <c r="B289" s="182" t="s">
        <v>797</v>
      </c>
      <c r="C289" s="182" t="s">
        <v>258</v>
      </c>
      <c r="D289" s="182" t="s">
        <v>187</v>
      </c>
      <c r="E289" s="204" t="s">
        <v>516</v>
      </c>
      <c r="F289" s="193"/>
      <c r="G289" s="184">
        <f>G290</f>
        <v>0</v>
      </c>
      <c r="H289" s="251"/>
      <c r="I289" s="184">
        <f t="shared" si="14"/>
        <v>0</v>
      </c>
      <c r="J289" s="184">
        <f>J290</f>
        <v>0</v>
      </c>
      <c r="K289" s="251"/>
      <c r="L289" s="184">
        <f t="shared" si="15"/>
        <v>0</v>
      </c>
      <c r="M289" s="184">
        <f>M290</f>
        <v>0</v>
      </c>
      <c r="N289" s="251"/>
      <c r="O289" s="184">
        <f t="shared" si="16"/>
        <v>0</v>
      </c>
    </row>
    <row r="290" spans="1:15" ht="15" hidden="1">
      <c r="A290" s="192" t="s">
        <v>507</v>
      </c>
      <c r="B290" s="182" t="s">
        <v>797</v>
      </c>
      <c r="C290" s="182" t="s">
        <v>258</v>
      </c>
      <c r="D290" s="182" t="s">
        <v>187</v>
      </c>
      <c r="E290" s="204" t="s">
        <v>516</v>
      </c>
      <c r="F290" s="193" t="s">
        <v>508</v>
      </c>
      <c r="G290" s="184">
        <f>400000-400000</f>
        <v>0</v>
      </c>
      <c r="H290" s="251"/>
      <c r="I290" s="184">
        <f t="shared" si="14"/>
        <v>0</v>
      </c>
      <c r="J290" s="184">
        <f>400000-400000</f>
        <v>0</v>
      </c>
      <c r="K290" s="251"/>
      <c r="L290" s="184">
        <f t="shared" si="15"/>
        <v>0</v>
      </c>
      <c r="M290" s="184">
        <f>400000-400000</f>
        <v>0</v>
      </c>
      <c r="N290" s="251"/>
      <c r="O290" s="184">
        <f t="shared" si="16"/>
        <v>0</v>
      </c>
    </row>
    <row r="291" spans="1:15" ht="25.5" hidden="1">
      <c r="A291" s="192" t="s">
        <v>517</v>
      </c>
      <c r="B291" s="182" t="s">
        <v>797</v>
      </c>
      <c r="C291" s="182" t="s">
        <v>258</v>
      </c>
      <c r="D291" s="182" t="s">
        <v>187</v>
      </c>
      <c r="E291" s="204" t="s">
        <v>518</v>
      </c>
      <c r="F291" s="193"/>
      <c r="G291" s="184">
        <f>G292</f>
        <v>0</v>
      </c>
      <c r="H291" s="251"/>
      <c r="I291" s="184">
        <f t="shared" si="14"/>
        <v>0</v>
      </c>
      <c r="J291" s="184">
        <f>J292</f>
        <v>0</v>
      </c>
      <c r="K291" s="251"/>
      <c r="L291" s="184">
        <f t="shared" si="15"/>
        <v>0</v>
      </c>
      <c r="M291" s="184">
        <f>M292</f>
        <v>0</v>
      </c>
      <c r="N291" s="251"/>
      <c r="O291" s="184">
        <f t="shared" si="16"/>
        <v>0</v>
      </c>
    </row>
    <row r="292" spans="1:15" ht="15" hidden="1">
      <c r="A292" s="192" t="s">
        <v>519</v>
      </c>
      <c r="B292" s="182" t="s">
        <v>797</v>
      </c>
      <c r="C292" s="182" t="s">
        <v>258</v>
      </c>
      <c r="D292" s="182" t="s">
        <v>187</v>
      </c>
      <c r="E292" s="204" t="s">
        <v>520</v>
      </c>
      <c r="F292" s="193"/>
      <c r="G292" s="184">
        <f>G293</f>
        <v>0</v>
      </c>
      <c r="H292" s="251"/>
      <c r="I292" s="184">
        <f t="shared" si="14"/>
        <v>0</v>
      </c>
      <c r="J292" s="184">
        <f>J293</f>
        <v>0</v>
      </c>
      <c r="K292" s="251"/>
      <c r="L292" s="184">
        <f t="shared" si="15"/>
        <v>0</v>
      </c>
      <c r="M292" s="184">
        <f>M293</f>
        <v>0</v>
      </c>
      <c r="N292" s="251"/>
      <c r="O292" s="184">
        <f t="shared" si="16"/>
        <v>0</v>
      </c>
    </row>
    <row r="293" spans="1:15" ht="15" hidden="1">
      <c r="A293" s="192" t="s">
        <v>274</v>
      </c>
      <c r="B293" s="182" t="s">
        <v>797</v>
      </c>
      <c r="C293" s="182" t="s">
        <v>258</v>
      </c>
      <c r="D293" s="182" t="s">
        <v>187</v>
      </c>
      <c r="E293" s="204" t="s">
        <v>520</v>
      </c>
      <c r="F293" s="193" t="s">
        <v>275</v>
      </c>
      <c r="G293" s="184"/>
      <c r="H293" s="251"/>
      <c r="I293" s="184">
        <f t="shared" si="14"/>
        <v>0</v>
      </c>
      <c r="J293" s="184"/>
      <c r="K293" s="251"/>
      <c r="L293" s="184">
        <f t="shared" si="15"/>
        <v>0</v>
      </c>
      <c r="M293" s="184"/>
      <c r="N293" s="251"/>
      <c r="O293" s="184">
        <f t="shared" si="16"/>
        <v>0</v>
      </c>
    </row>
    <row r="294" spans="1:15" ht="15">
      <c r="A294" s="220" t="s">
        <v>521</v>
      </c>
      <c r="B294" s="182" t="s">
        <v>797</v>
      </c>
      <c r="C294" s="182" t="s">
        <v>262</v>
      </c>
      <c r="D294" s="182"/>
      <c r="E294" s="207"/>
      <c r="F294" s="193"/>
      <c r="G294" s="184">
        <f aca="true" t="shared" si="17" ref="G294:G299">G295</f>
        <v>57642</v>
      </c>
      <c r="H294" s="251"/>
      <c r="I294" s="184">
        <f t="shared" si="14"/>
        <v>57642</v>
      </c>
      <c r="J294" s="184">
        <f aca="true" t="shared" si="18" ref="J294:J299">J295</f>
        <v>57642</v>
      </c>
      <c r="K294" s="251"/>
      <c r="L294" s="184">
        <f t="shared" si="15"/>
        <v>57642</v>
      </c>
      <c r="M294" s="184">
        <f aca="true" t="shared" si="19" ref="M294:M299">M295</f>
        <v>57642</v>
      </c>
      <c r="N294" s="251"/>
      <c r="O294" s="184">
        <f t="shared" si="16"/>
        <v>57642</v>
      </c>
    </row>
    <row r="295" spans="1:15" ht="15">
      <c r="A295" s="205" t="s">
        <v>522</v>
      </c>
      <c r="B295" s="182" t="s">
        <v>797</v>
      </c>
      <c r="C295" s="182" t="s">
        <v>262</v>
      </c>
      <c r="D295" s="182" t="s">
        <v>258</v>
      </c>
      <c r="E295" s="207"/>
      <c r="F295" s="193"/>
      <c r="G295" s="184">
        <f t="shared" si="17"/>
        <v>57642</v>
      </c>
      <c r="H295" s="251"/>
      <c r="I295" s="184">
        <f t="shared" si="14"/>
        <v>57642</v>
      </c>
      <c r="J295" s="184">
        <f t="shared" si="18"/>
        <v>57642</v>
      </c>
      <c r="K295" s="251"/>
      <c r="L295" s="184">
        <f t="shared" si="15"/>
        <v>57642</v>
      </c>
      <c r="M295" s="184">
        <f t="shared" si="19"/>
        <v>57642</v>
      </c>
      <c r="N295" s="251"/>
      <c r="O295" s="184">
        <f t="shared" si="16"/>
        <v>57642</v>
      </c>
    </row>
    <row r="296" spans="1:15" ht="38.25">
      <c r="A296" s="199" t="s">
        <v>491</v>
      </c>
      <c r="B296" s="182" t="s">
        <v>797</v>
      </c>
      <c r="C296" s="182" t="s">
        <v>262</v>
      </c>
      <c r="D296" s="182" t="s">
        <v>258</v>
      </c>
      <c r="E296" s="207" t="s">
        <v>492</v>
      </c>
      <c r="F296" s="193"/>
      <c r="G296" s="184">
        <f t="shared" si="17"/>
        <v>57642</v>
      </c>
      <c r="H296" s="251"/>
      <c r="I296" s="184">
        <f t="shared" si="14"/>
        <v>57642</v>
      </c>
      <c r="J296" s="184">
        <f t="shared" si="18"/>
        <v>57642</v>
      </c>
      <c r="K296" s="251"/>
      <c r="L296" s="184">
        <f t="shared" si="15"/>
        <v>57642</v>
      </c>
      <c r="M296" s="184">
        <f t="shared" si="19"/>
        <v>57642</v>
      </c>
      <c r="N296" s="251"/>
      <c r="O296" s="184">
        <f t="shared" si="16"/>
        <v>57642</v>
      </c>
    </row>
    <row r="297" spans="1:15" ht="51">
      <c r="A297" s="199" t="s">
        <v>493</v>
      </c>
      <c r="B297" s="182" t="s">
        <v>797</v>
      </c>
      <c r="C297" s="182" t="s">
        <v>262</v>
      </c>
      <c r="D297" s="182" t="s">
        <v>258</v>
      </c>
      <c r="E297" s="207" t="s">
        <v>494</v>
      </c>
      <c r="F297" s="193"/>
      <c r="G297" s="184">
        <f t="shared" si="17"/>
        <v>57642</v>
      </c>
      <c r="H297" s="251"/>
      <c r="I297" s="184">
        <f t="shared" si="14"/>
        <v>57642</v>
      </c>
      <c r="J297" s="184">
        <f t="shared" si="18"/>
        <v>57642</v>
      </c>
      <c r="K297" s="251"/>
      <c r="L297" s="184">
        <f t="shared" si="15"/>
        <v>57642</v>
      </c>
      <c r="M297" s="184">
        <f t="shared" si="19"/>
        <v>57642</v>
      </c>
      <c r="N297" s="251"/>
      <c r="O297" s="184">
        <f t="shared" si="16"/>
        <v>57642</v>
      </c>
    </row>
    <row r="298" spans="1:15" ht="15">
      <c r="A298" s="199" t="s">
        <v>523</v>
      </c>
      <c r="B298" s="182" t="s">
        <v>797</v>
      </c>
      <c r="C298" s="182" t="s">
        <v>262</v>
      </c>
      <c r="D298" s="182" t="s">
        <v>258</v>
      </c>
      <c r="E298" s="207" t="s">
        <v>524</v>
      </c>
      <c r="F298" s="193"/>
      <c r="G298" s="184">
        <f t="shared" si="17"/>
        <v>57642</v>
      </c>
      <c r="H298" s="251"/>
      <c r="I298" s="184">
        <f t="shared" si="14"/>
        <v>57642</v>
      </c>
      <c r="J298" s="184">
        <f t="shared" si="18"/>
        <v>57642</v>
      </c>
      <c r="K298" s="251"/>
      <c r="L298" s="184">
        <f t="shared" si="15"/>
        <v>57642</v>
      </c>
      <c r="M298" s="184">
        <f t="shared" si="19"/>
        <v>57642</v>
      </c>
      <c r="N298" s="251"/>
      <c r="O298" s="184">
        <f t="shared" si="16"/>
        <v>57642</v>
      </c>
    </row>
    <row r="299" spans="1:15" ht="15">
      <c r="A299" s="199" t="s">
        <v>525</v>
      </c>
      <c r="B299" s="182" t="s">
        <v>797</v>
      </c>
      <c r="C299" s="182" t="s">
        <v>262</v>
      </c>
      <c r="D299" s="182" t="s">
        <v>258</v>
      </c>
      <c r="E299" s="207" t="s">
        <v>526</v>
      </c>
      <c r="F299" s="193"/>
      <c r="G299" s="184">
        <f t="shared" si="17"/>
        <v>57642</v>
      </c>
      <c r="H299" s="251"/>
      <c r="I299" s="184">
        <f t="shared" si="14"/>
        <v>57642</v>
      </c>
      <c r="J299" s="184">
        <f t="shared" si="18"/>
        <v>57642</v>
      </c>
      <c r="K299" s="251"/>
      <c r="L299" s="184">
        <f t="shared" si="15"/>
        <v>57642</v>
      </c>
      <c r="M299" s="184">
        <f t="shared" si="19"/>
        <v>57642</v>
      </c>
      <c r="N299" s="251"/>
      <c r="O299" s="184">
        <f t="shared" si="16"/>
        <v>57642</v>
      </c>
    </row>
    <row r="300" spans="1:15" ht="25.5">
      <c r="A300" s="192" t="s">
        <v>206</v>
      </c>
      <c r="B300" s="182" t="s">
        <v>797</v>
      </c>
      <c r="C300" s="182" t="s">
        <v>262</v>
      </c>
      <c r="D300" s="182" t="s">
        <v>258</v>
      </c>
      <c r="E300" s="207" t="s">
        <v>526</v>
      </c>
      <c r="F300" s="193" t="s">
        <v>207</v>
      </c>
      <c r="G300" s="184">
        <v>57642</v>
      </c>
      <c r="H300" s="251"/>
      <c r="I300" s="184">
        <f t="shared" si="14"/>
        <v>57642</v>
      </c>
      <c r="J300" s="184">
        <v>57642</v>
      </c>
      <c r="K300" s="251"/>
      <c r="L300" s="184">
        <f t="shared" si="15"/>
        <v>57642</v>
      </c>
      <c r="M300" s="184">
        <v>57642</v>
      </c>
      <c r="N300" s="251"/>
      <c r="O300" s="184">
        <f t="shared" si="16"/>
        <v>57642</v>
      </c>
    </row>
    <row r="301" spans="1:19" ht="16.5" customHeight="1">
      <c r="A301" s="199" t="s">
        <v>527</v>
      </c>
      <c r="B301" s="182" t="s">
        <v>797</v>
      </c>
      <c r="C301" s="182" t="s">
        <v>269</v>
      </c>
      <c r="D301" s="182"/>
      <c r="E301" s="207"/>
      <c r="F301" s="210"/>
      <c r="G301" s="184">
        <f>G302+G308</f>
        <v>1831280</v>
      </c>
      <c r="H301" s="251"/>
      <c r="I301" s="184">
        <f t="shared" si="14"/>
        <v>1831280</v>
      </c>
      <c r="J301" s="184">
        <f>J302+J308</f>
        <v>1262800</v>
      </c>
      <c r="K301" s="251"/>
      <c r="L301" s="184">
        <f t="shared" si="15"/>
        <v>1262800</v>
      </c>
      <c r="M301" s="184">
        <f>M302+M308</f>
        <v>1262800</v>
      </c>
      <c r="N301" s="251"/>
      <c r="O301" s="184">
        <f t="shared" si="16"/>
        <v>1262800</v>
      </c>
      <c r="Q301" s="194"/>
      <c r="R301" s="194"/>
      <c r="S301" s="194"/>
    </row>
    <row r="302" spans="1:15" ht="15">
      <c r="A302" s="199" t="s">
        <v>620</v>
      </c>
      <c r="B302" s="182" t="s">
        <v>797</v>
      </c>
      <c r="C302" s="182" t="s">
        <v>269</v>
      </c>
      <c r="D302" s="182" t="s">
        <v>269</v>
      </c>
      <c r="E302" s="182"/>
      <c r="F302" s="183"/>
      <c r="G302" s="184">
        <f>G303</f>
        <v>100000</v>
      </c>
      <c r="H302" s="251"/>
      <c r="I302" s="184">
        <f t="shared" si="14"/>
        <v>100000</v>
      </c>
      <c r="J302" s="184">
        <f>J303</f>
        <v>100000</v>
      </c>
      <c r="K302" s="251"/>
      <c r="L302" s="184">
        <f t="shared" si="15"/>
        <v>100000</v>
      </c>
      <c r="M302" s="184">
        <f>M303</f>
        <v>100000</v>
      </c>
      <c r="N302" s="251"/>
      <c r="O302" s="184">
        <f t="shared" si="16"/>
        <v>100000</v>
      </c>
    </row>
    <row r="303" spans="1:15" ht="42.75" customHeight="1">
      <c r="A303" s="199" t="s">
        <v>621</v>
      </c>
      <c r="B303" s="182" t="s">
        <v>797</v>
      </c>
      <c r="C303" s="182" t="s">
        <v>269</v>
      </c>
      <c r="D303" s="182" t="s">
        <v>269</v>
      </c>
      <c r="E303" s="207" t="s">
        <v>622</v>
      </c>
      <c r="F303" s="183"/>
      <c r="G303" s="184">
        <f>G304</f>
        <v>100000</v>
      </c>
      <c r="H303" s="251"/>
      <c r="I303" s="184">
        <f t="shared" si="14"/>
        <v>100000</v>
      </c>
      <c r="J303" s="184">
        <f>J304</f>
        <v>100000</v>
      </c>
      <c r="K303" s="251"/>
      <c r="L303" s="184">
        <f t="shared" si="15"/>
        <v>100000</v>
      </c>
      <c r="M303" s="184">
        <f>M304</f>
        <v>100000</v>
      </c>
      <c r="N303" s="251"/>
      <c r="O303" s="184">
        <f t="shared" si="16"/>
        <v>100000</v>
      </c>
    </row>
    <row r="304" spans="1:15" ht="54.75" customHeight="1">
      <c r="A304" s="199" t="s">
        <v>623</v>
      </c>
      <c r="B304" s="182" t="s">
        <v>797</v>
      </c>
      <c r="C304" s="182" t="s">
        <v>269</v>
      </c>
      <c r="D304" s="182" t="s">
        <v>269</v>
      </c>
      <c r="E304" s="207" t="s">
        <v>624</v>
      </c>
      <c r="F304" s="210"/>
      <c r="G304" s="184">
        <f>G305</f>
        <v>100000</v>
      </c>
      <c r="H304" s="251"/>
      <c r="I304" s="184">
        <f t="shared" si="14"/>
        <v>100000</v>
      </c>
      <c r="J304" s="184">
        <f>J305</f>
        <v>100000</v>
      </c>
      <c r="K304" s="251"/>
      <c r="L304" s="184">
        <f t="shared" si="15"/>
        <v>100000</v>
      </c>
      <c r="M304" s="184">
        <f>M305</f>
        <v>100000</v>
      </c>
      <c r="N304" s="251"/>
      <c r="O304" s="184">
        <f t="shared" si="16"/>
        <v>100000</v>
      </c>
    </row>
    <row r="305" spans="1:15" ht="39.75" customHeight="1">
      <c r="A305" s="199" t="s">
        <v>625</v>
      </c>
      <c r="B305" s="182" t="s">
        <v>797</v>
      </c>
      <c r="C305" s="182" t="s">
        <v>269</v>
      </c>
      <c r="D305" s="182" t="s">
        <v>269</v>
      </c>
      <c r="E305" s="207" t="s">
        <v>626</v>
      </c>
      <c r="F305" s="210"/>
      <c r="G305" s="184">
        <f>G306</f>
        <v>100000</v>
      </c>
      <c r="H305" s="251"/>
      <c r="I305" s="184">
        <f t="shared" si="14"/>
        <v>100000</v>
      </c>
      <c r="J305" s="184">
        <f>J306</f>
        <v>100000</v>
      </c>
      <c r="K305" s="251"/>
      <c r="L305" s="184">
        <f t="shared" si="15"/>
        <v>100000</v>
      </c>
      <c r="M305" s="184">
        <f>M306</f>
        <v>100000</v>
      </c>
      <c r="N305" s="251"/>
      <c r="O305" s="184">
        <f t="shared" si="16"/>
        <v>100000</v>
      </c>
    </row>
    <row r="306" spans="1:15" ht="19.5" customHeight="1">
      <c r="A306" s="199" t="s">
        <v>627</v>
      </c>
      <c r="B306" s="182" t="s">
        <v>797</v>
      </c>
      <c r="C306" s="182" t="s">
        <v>269</v>
      </c>
      <c r="D306" s="182" t="s">
        <v>269</v>
      </c>
      <c r="E306" s="207" t="s">
        <v>628</v>
      </c>
      <c r="F306" s="210"/>
      <c r="G306" s="184">
        <f>G307</f>
        <v>100000</v>
      </c>
      <c r="H306" s="251"/>
      <c r="I306" s="184">
        <f t="shared" si="14"/>
        <v>100000</v>
      </c>
      <c r="J306" s="184">
        <f>J307</f>
        <v>100000</v>
      </c>
      <c r="K306" s="251"/>
      <c r="L306" s="184">
        <f t="shared" si="15"/>
        <v>100000</v>
      </c>
      <c r="M306" s="184">
        <f>M307</f>
        <v>100000</v>
      </c>
      <c r="N306" s="251"/>
      <c r="O306" s="184">
        <f t="shared" si="16"/>
        <v>100000</v>
      </c>
    </row>
    <row r="307" spans="1:15" ht="21.75" customHeight="1">
      <c r="A307" s="192" t="s">
        <v>206</v>
      </c>
      <c r="B307" s="182" t="s">
        <v>797</v>
      </c>
      <c r="C307" s="182" t="s">
        <v>269</v>
      </c>
      <c r="D307" s="182" t="s">
        <v>269</v>
      </c>
      <c r="E307" s="207" t="s">
        <v>628</v>
      </c>
      <c r="F307" s="210" t="s">
        <v>207</v>
      </c>
      <c r="G307" s="184">
        <v>100000</v>
      </c>
      <c r="H307" s="251"/>
      <c r="I307" s="184">
        <f t="shared" si="14"/>
        <v>100000</v>
      </c>
      <c r="J307" s="184">
        <v>100000</v>
      </c>
      <c r="K307" s="251"/>
      <c r="L307" s="184">
        <f t="shared" si="15"/>
        <v>100000</v>
      </c>
      <c r="M307" s="184">
        <v>100000</v>
      </c>
      <c r="N307" s="251"/>
      <c r="O307" s="184">
        <f t="shared" si="16"/>
        <v>100000</v>
      </c>
    </row>
    <row r="308" spans="1:15" ht="20.25" customHeight="1">
      <c r="A308" s="199" t="s">
        <v>629</v>
      </c>
      <c r="B308" s="182" t="s">
        <v>797</v>
      </c>
      <c r="C308" s="182" t="s">
        <v>269</v>
      </c>
      <c r="D308" s="182" t="s">
        <v>407</v>
      </c>
      <c r="E308" s="207"/>
      <c r="F308" s="210"/>
      <c r="G308" s="184">
        <f>G309</f>
        <v>1731280</v>
      </c>
      <c r="H308" s="251"/>
      <c r="I308" s="184">
        <f t="shared" si="14"/>
        <v>1731280</v>
      </c>
      <c r="J308" s="184">
        <f>J309</f>
        <v>1162800</v>
      </c>
      <c r="K308" s="251"/>
      <c r="L308" s="184">
        <f t="shared" si="15"/>
        <v>1162800</v>
      </c>
      <c r="M308" s="184">
        <f>M309</f>
        <v>1162800</v>
      </c>
      <c r="N308" s="251"/>
      <c r="O308" s="184">
        <f t="shared" si="16"/>
        <v>1162800</v>
      </c>
    </row>
    <row r="309" spans="1:15" ht="45" customHeight="1">
      <c r="A309" s="199" t="s">
        <v>621</v>
      </c>
      <c r="B309" s="182" t="s">
        <v>797</v>
      </c>
      <c r="C309" s="182" t="s">
        <v>269</v>
      </c>
      <c r="D309" s="182" t="s">
        <v>407</v>
      </c>
      <c r="E309" s="207" t="s">
        <v>622</v>
      </c>
      <c r="F309" s="210"/>
      <c r="G309" s="184">
        <f>G310</f>
        <v>1731280</v>
      </c>
      <c r="H309" s="251"/>
      <c r="I309" s="184">
        <f t="shared" si="14"/>
        <v>1731280</v>
      </c>
      <c r="J309" s="184">
        <f>J310</f>
        <v>1162800</v>
      </c>
      <c r="K309" s="251"/>
      <c r="L309" s="184">
        <f t="shared" si="15"/>
        <v>1162800</v>
      </c>
      <c r="M309" s="184">
        <f>M310</f>
        <v>1162800</v>
      </c>
      <c r="N309" s="251"/>
      <c r="O309" s="184">
        <f t="shared" si="16"/>
        <v>1162800</v>
      </c>
    </row>
    <row r="310" spans="1:15" ht="57.75" customHeight="1">
      <c r="A310" s="211" t="s">
        <v>633</v>
      </c>
      <c r="B310" s="182" t="s">
        <v>797</v>
      </c>
      <c r="C310" s="182" t="s">
        <v>269</v>
      </c>
      <c r="D310" s="182" t="s">
        <v>407</v>
      </c>
      <c r="E310" s="207" t="s">
        <v>634</v>
      </c>
      <c r="F310" s="210"/>
      <c r="G310" s="184">
        <f>G311</f>
        <v>1731280</v>
      </c>
      <c r="H310" s="251"/>
      <c r="I310" s="184">
        <f t="shared" si="14"/>
        <v>1731280</v>
      </c>
      <c r="J310" s="184">
        <f>J311</f>
        <v>1162800</v>
      </c>
      <c r="K310" s="251"/>
      <c r="L310" s="184">
        <f t="shared" si="15"/>
        <v>1162800</v>
      </c>
      <c r="M310" s="184">
        <f>M311</f>
        <v>1162800</v>
      </c>
      <c r="N310" s="251"/>
      <c r="O310" s="184">
        <f t="shared" si="16"/>
        <v>1162800</v>
      </c>
    </row>
    <row r="311" spans="1:15" ht="31.5" customHeight="1">
      <c r="A311" s="199" t="s">
        <v>635</v>
      </c>
      <c r="B311" s="182" t="s">
        <v>797</v>
      </c>
      <c r="C311" s="182" t="s">
        <v>269</v>
      </c>
      <c r="D311" s="182" t="s">
        <v>407</v>
      </c>
      <c r="E311" s="207" t="s">
        <v>636</v>
      </c>
      <c r="F311" s="210"/>
      <c r="G311" s="184">
        <f>G312+G314</f>
        <v>1731280</v>
      </c>
      <c r="H311" s="251"/>
      <c r="I311" s="184">
        <f t="shared" si="14"/>
        <v>1731280</v>
      </c>
      <c r="J311" s="184">
        <f>J312+J314</f>
        <v>1162800</v>
      </c>
      <c r="K311" s="251"/>
      <c r="L311" s="184">
        <f t="shared" si="15"/>
        <v>1162800</v>
      </c>
      <c r="M311" s="184">
        <f>M312+M314</f>
        <v>1162800</v>
      </c>
      <c r="N311" s="251"/>
      <c r="O311" s="184">
        <f t="shared" si="16"/>
        <v>1162800</v>
      </c>
    </row>
    <row r="312" spans="1:15" ht="15">
      <c r="A312" s="199" t="s">
        <v>637</v>
      </c>
      <c r="B312" s="182" t="s">
        <v>797</v>
      </c>
      <c r="C312" s="182" t="s">
        <v>269</v>
      </c>
      <c r="D312" s="182" t="s">
        <v>407</v>
      </c>
      <c r="E312" s="207" t="s">
        <v>638</v>
      </c>
      <c r="F312" s="183"/>
      <c r="G312" s="184">
        <f>G313</f>
        <v>568480</v>
      </c>
      <c r="H312" s="251"/>
      <c r="I312" s="184">
        <f t="shared" si="14"/>
        <v>568480</v>
      </c>
      <c r="J312" s="184">
        <f>J313</f>
        <v>0</v>
      </c>
      <c r="K312" s="251"/>
      <c r="L312" s="184">
        <f t="shared" si="15"/>
        <v>0</v>
      </c>
      <c r="M312" s="184">
        <f>M313</f>
        <v>0</v>
      </c>
      <c r="N312" s="251"/>
      <c r="O312" s="184">
        <f t="shared" si="16"/>
        <v>0</v>
      </c>
    </row>
    <row r="313" spans="1:15" ht="18.75" customHeight="1">
      <c r="A313" s="199" t="s">
        <v>244</v>
      </c>
      <c r="B313" s="182" t="s">
        <v>797</v>
      </c>
      <c r="C313" s="182" t="s">
        <v>269</v>
      </c>
      <c r="D313" s="182" t="s">
        <v>407</v>
      </c>
      <c r="E313" s="207" t="s">
        <v>638</v>
      </c>
      <c r="F313" s="210" t="s">
        <v>245</v>
      </c>
      <c r="G313" s="184">
        <v>568480</v>
      </c>
      <c r="H313" s="251"/>
      <c r="I313" s="184">
        <f t="shared" si="14"/>
        <v>568480</v>
      </c>
      <c r="J313" s="184"/>
      <c r="K313" s="251"/>
      <c r="L313" s="184">
        <f t="shared" si="15"/>
        <v>0</v>
      </c>
      <c r="M313" s="184"/>
      <c r="N313" s="251"/>
      <c r="O313" s="184">
        <f t="shared" si="16"/>
        <v>0</v>
      </c>
    </row>
    <row r="314" spans="1:15" ht="18.75" customHeight="1">
      <c r="A314" s="200" t="s">
        <v>639</v>
      </c>
      <c r="B314" s="182" t="s">
        <v>797</v>
      </c>
      <c r="C314" s="182" t="s">
        <v>269</v>
      </c>
      <c r="D314" s="182" t="s">
        <v>407</v>
      </c>
      <c r="E314" s="207" t="s">
        <v>640</v>
      </c>
      <c r="F314" s="183"/>
      <c r="G314" s="184">
        <f>G315</f>
        <v>1162800</v>
      </c>
      <c r="H314" s="251"/>
      <c r="I314" s="184">
        <f t="shared" si="14"/>
        <v>1162800</v>
      </c>
      <c r="J314" s="184">
        <f>J315</f>
        <v>1162800</v>
      </c>
      <c r="K314" s="251"/>
      <c r="L314" s="184">
        <f t="shared" si="15"/>
        <v>1162800</v>
      </c>
      <c r="M314" s="184">
        <f>M315</f>
        <v>1162800</v>
      </c>
      <c r="N314" s="251"/>
      <c r="O314" s="184">
        <f>M314+N314</f>
        <v>1162800</v>
      </c>
    </row>
    <row r="315" spans="1:15" ht="15">
      <c r="A315" s="199" t="s">
        <v>244</v>
      </c>
      <c r="B315" s="182" t="s">
        <v>797</v>
      </c>
      <c r="C315" s="182" t="s">
        <v>269</v>
      </c>
      <c r="D315" s="182" t="s">
        <v>407</v>
      </c>
      <c r="E315" s="207" t="s">
        <v>640</v>
      </c>
      <c r="F315" s="210" t="s">
        <v>245</v>
      </c>
      <c r="G315" s="184">
        <v>1162800</v>
      </c>
      <c r="H315" s="251"/>
      <c r="I315" s="184">
        <f t="shared" si="14"/>
        <v>1162800</v>
      </c>
      <c r="J315" s="184">
        <v>1162800</v>
      </c>
      <c r="K315" s="251"/>
      <c r="L315" s="184">
        <f t="shared" si="15"/>
        <v>1162800</v>
      </c>
      <c r="M315" s="184">
        <v>1162800</v>
      </c>
      <c r="N315" s="251"/>
      <c r="O315" s="184">
        <f>M315+N315</f>
        <v>1162800</v>
      </c>
    </row>
    <row r="316" spans="1:15" ht="15.75" customHeight="1">
      <c r="A316" s="199" t="s">
        <v>649</v>
      </c>
      <c r="B316" s="182" t="s">
        <v>797</v>
      </c>
      <c r="C316" s="182" t="s">
        <v>399</v>
      </c>
      <c r="D316" s="182"/>
      <c r="E316" s="182"/>
      <c r="F316" s="183"/>
      <c r="G316" s="184">
        <f>G317</f>
        <v>53382262</v>
      </c>
      <c r="H316" s="251">
        <f>H317</f>
        <v>548800</v>
      </c>
      <c r="I316" s="184">
        <f t="shared" si="14"/>
        <v>53931062</v>
      </c>
      <c r="J316" s="184">
        <f>J317</f>
        <v>40434000</v>
      </c>
      <c r="K316" s="251">
        <f>K317</f>
        <v>548800</v>
      </c>
      <c r="L316" s="184">
        <f t="shared" si="15"/>
        <v>40982800</v>
      </c>
      <c r="M316" s="184">
        <f>M317</f>
        <v>41135224</v>
      </c>
      <c r="N316" s="184">
        <f>N317</f>
        <v>548800</v>
      </c>
      <c r="O316" s="184">
        <f aca="true" t="shared" si="20" ref="O316:O337">M316+N316</f>
        <v>41684024</v>
      </c>
    </row>
    <row r="317" spans="1:15" ht="15">
      <c r="A317" s="199" t="s">
        <v>650</v>
      </c>
      <c r="B317" s="182" t="s">
        <v>797</v>
      </c>
      <c r="C317" s="182" t="s">
        <v>399</v>
      </c>
      <c r="D317" s="182" t="s">
        <v>185</v>
      </c>
      <c r="E317" s="182"/>
      <c r="F317" s="183"/>
      <c r="G317" s="184">
        <f>G318+G348+G357</f>
        <v>53382262</v>
      </c>
      <c r="H317" s="184">
        <f>H318+H348+H357</f>
        <v>548800</v>
      </c>
      <c r="I317" s="184">
        <f t="shared" si="14"/>
        <v>53931062</v>
      </c>
      <c r="J317" s="184">
        <f>J318+J348+J357</f>
        <v>40434000</v>
      </c>
      <c r="K317" s="184">
        <f>K318+K348+K357</f>
        <v>548800</v>
      </c>
      <c r="L317" s="184">
        <f t="shared" si="15"/>
        <v>40982800</v>
      </c>
      <c r="M317" s="184">
        <f>M318+M348+M357</f>
        <v>41135224</v>
      </c>
      <c r="N317" s="184">
        <f>N318+N348+N357</f>
        <v>548800</v>
      </c>
      <c r="O317" s="184">
        <f t="shared" si="20"/>
        <v>41684024</v>
      </c>
    </row>
    <row r="318" spans="1:15" ht="27" customHeight="1">
      <c r="A318" s="199" t="s">
        <v>651</v>
      </c>
      <c r="B318" s="182" t="s">
        <v>797</v>
      </c>
      <c r="C318" s="182" t="s">
        <v>399</v>
      </c>
      <c r="D318" s="182" t="s">
        <v>185</v>
      </c>
      <c r="E318" s="182" t="s">
        <v>652</v>
      </c>
      <c r="F318" s="183"/>
      <c r="G318" s="184">
        <f>G319+G337+G352</f>
        <v>53372262</v>
      </c>
      <c r="H318" s="184">
        <f>H319+H337+H352</f>
        <v>548800</v>
      </c>
      <c r="I318" s="184">
        <f t="shared" si="14"/>
        <v>53921062</v>
      </c>
      <c r="J318" s="184">
        <f>J319+J337+J352</f>
        <v>40424000</v>
      </c>
      <c r="K318" s="184">
        <f>K319+K337+K352</f>
        <v>548800</v>
      </c>
      <c r="L318" s="184">
        <f t="shared" si="15"/>
        <v>40972800</v>
      </c>
      <c r="M318" s="184">
        <f>M319+M337+M352</f>
        <v>41125224</v>
      </c>
      <c r="N318" s="184">
        <f>N319+N337+N352</f>
        <v>548800</v>
      </c>
      <c r="O318" s="184">
        <f t="shared" si="20"/>
        <v>41674024</v>
      </c>
    </row>
    <row r="319" spans="1:15" s="198" customFormat="1" ht="27.75" customHeight="1">
      <c r="A319" s="199" t="s">
        <v>653</v>
      </c>
      <c r="B319" s="182" t="s">
        <v>797</v>
      </c>
      <c r="C319" s="182" t="s">
        <v>654</v>
      </c>
      <c r="D319" s="182" t="s">
        <v>185</v>
      </c>
      <c r="E319" s="182" t="s">
        <v>655</v>
      </c>
      <c r="F319" s="183"/>
      <c r="G319" s="184">
        <f>G325+G320</f>
        <v>38153947</v>
      </c>
      <c r="H319" s="184">
        <f>H325+H320</f>
        <v>548800</v>
      </c>
      <c r="I319" s="184">
        <f t="shared" si="14"/>
        <v>38702747</v>
      </c>
      <c r="J319" s="184">
        <f>J325+J320</f>
        <v>27332171</v>
      </c>
      <c r="K319" s="184">
        <f>K325+K320</f>
        <v>548800</v>
      </c>
      <c r="L319" s="184">
        <f t="shared" si="15"/>
        <v>27880971</v>
      </c>
      <c r="M319" s="184">
        <f>M325+M320</f>
        <v>27828813</v>
      </c>
      <c r="N319" s="184">
        <f>N325+N320</f>
        <v>548800</v>
      </c>
      <c r="O319" s="184">
        <f t="shared" si="20"/>
        <v>28377613</v>
      </c>
    </row>
    <row r="320" spans="1:15" s="198" customFormat="1" ht="19.5" customHeight="1" hidden="1">
      <c r="A320" s="197" t="s">
        <v>656</v>
      </c>
      <c r="B320" s="182" t="s">
        <v>797</v>
      </c>
      <c r="C320" s="182" t="s">
        <v>654</v>
      </c>
      <c r="D320" s="182" t="s">
        <v>185</v>
      </c>
      <c r="E320" s="182" t="s">
        <v>657</v>
      </c>
      <c r="F320" s="183"/>
      <c r="G320" s="184">
        <f>G321+G323</f>
        <v>0</v>
      </c>
      <c r="H320" s="184"/>
      <c r="I320" s="184">
        <f t="shared" si="14"/>
        <v>0</v>
      </c>
      <c r="J320" s="184">
        <f>J321+J323</f>
        <v>0</v>
      </c>
      <c r="K320" s="184"/>
      <c r="L320" s="184">
        <f t="shared" si="15"/>
        <v>0</v>
      </c>
      <c r="M320" s="184">
        <f>M321+M323</f>
        <v>0</v>
      </c>
      <c r="N320" s="184"/>
      <c r="O320" s="184">
        <f t="shared" si="20"/>
        <v>0</v>
      </c>
    </row>
    <row r="321" spans="1:15" s="198" customFormat="1" ht="28.5" customHeight="1" hidden="1">
      <c r="A321" s="199" t="s">
        <v>658</v>
      </c>
      <c r="B321" s="182" t="s">
        <v>797</v>
      </c>
      <c r="C321" s="182" t="s">
        <v>654</v>
      </c>
      <c r="D321" s="182" t="s">
        <v>185</v>
      </c>
      <c r="E321" s="182" t="s">
        <v>659</v>
      </c>
      <c r="F321" s="183"/>
      <c r="G321" s="184">
        <f>G322</f>
        <v>0</v>
      </c>
      <c r="H321" s="184"/>
      <c r="I321" s="184">
        <f t="shared" si="14"/>
        <v>0</v>
      </c>
      <c r="J321" s="184"/>
      <c r="K321" s="184"/>
      <c r="L321" s="184">
        <f t="shared" si="15"/>
        <v>0</v>
      </c>
      <c r="M321" s="184"/>
      <c r="N321" s="184"/>
      <c r="O321" s="184">
        <f t="shared" si="20"/>
        <v>0</v>
      </c>
    </row>
    <row r="322" spans="1:15" s="198" customFormat="1" ht="19.5" customHeight="1" hidden="1">
      <c r="A322" s="223" t="s">
        <v>244</v>
      </c>
      <c r="B322" s="182" t="s">
        <v>797</v>
      </c>
      <c r="C322" s="182" t="s">
        <v>654</v>
      </c>
      <c r="D322" s="182" t="s">
        <v>185</v>
      </c>
      <c r="E322" s="182" t="s">
        <v>659</v>
      </c>
      <c r="F322" s="183" t="s">
        <v>245</v>
      </c>
      <c r="G322" s="184"/>
      <c r="H322" s="184"/>
      <c r="I322" s="184">
        <f t="shared" si="14"/>
        <v>0</v>
      </c>
      <c r="J322" s="184"/>
      <c r="K322" s="184"/>
      <c r="L322" s="184">
        <f t="shared" si="15"/>
        <v>0</v>
      </c>
      <c r="M322" s="184"/>
      <c r="N322" s="184"/>
      <c r="O322" s="184">
        <f t="shared" si="20"/>
        <v>0</v>
      </c>
    </row>
    <row r="323" spans="1:15" s="198" customFormat="1" ht="29.25" customHeight="1" hidden="1">
      <c r="A323" s="223" t="s">
        <v>660</v>
      </c>
      <c r="B323" s="182" t="s">
        <v>797</v>
      </c>
      <c r="C323" s="182" t="s">
        <v>654</v>
      </c>
      <c r="D323" s="182" t="s">
        <v>185</v>
      </c>
      <c r="E323" s="182" t="s">
        <v>661</v>
      </c>
      <c r="F323" s="183"/>
      <c r="G323" s="184">
        <f>G324</f>
        <v>0</v>
      </c>
      <c r="H323" s="184"/>
      <c r="I323" s="184">
        <f t="shared" si="14"/>
        <v>0</v>
      </c>
      <c r="J323" s="184"/>
      <c r="K323" s="184"/>
      <c r="L323" s="184">
        <f t="shared" si="15"/>
        <v>0</v>
      </c>
      <c r="M323" s="184"/>
      <c r="N323" s="184"/>
      <c r="O323" s="184">
        <f t="shared" si="20"/>
        <v>0</v>
      </c>
    </row>
    <row r="324" spans="1:15" s="198" customFormat="1" ht="29.25" customHeight="1" hidden="1">
      <c r="A324" s="192" t="s">
        <v>206</v>
      </c>
      <c r="B324" s="182" t="s">
        <v>797</v>
      </c>
      <c r="C324" s="182" t="s">
        <v>654</v>
      </c>
      <c r="D324" s="182" t="s">
        <v>185</v>
      </c>
      <c r="E324" s="182" t="s">
        <v>661</v>
      </c>
      <c r="F324" s="183" t="s">
        <v>207</v>
      </c>
      <c r="G324" s="184"/>
      <c r="H324" s="184"/>
      <c r="I324" s="184">
        <f t="shared" si="14"/>
        <v>0</v>
      </c>
      <c r="J324" s="184"/>
      <c r="K324" s="184"/>
      <c r="L324" s="184">
        <f t="shared" si="15"/>
        <v>0</v>
      </c>
      <c r="M324" s="184"/>
      <c r="N324" s="184"/>
      <c r="O324" s="184">
        <f t="shared" si="20"/>
        <v>0</v>
      </c>
    </row>
    <row r="325" spans="1:15" ht="37.5" customHeight="1">
      <c r="A325" s="197" t="s">
        <v>662</v>
      </c>
      <c r="B325" s="182" t="s">
        <v>797</v>
      </c>
      <c r="C325" s="182" t="s">
        <v>654</v>
      </c>
      <c r="D325" s="182" t="s">
        <v>185</v>
      </c>
      <c r="E325" s="182" t="s">
        <v>663</v>
      </c>
      <c r="F325" s="183"/>
      <c r="G325" s="184">
        <f>G330+G335+G326+G328</f>
        <v>38153947</v>
      </c>
      <c r="H325" s="184">
        <f>H330+H335+H326+H328</f>
        <v>548800</v>
      </c>
      <c r="I325" s="184">
        <f t="shared" si="14"/>
        <v>38702747</v>
      </c>
      <c r="J325" s="184">
        <f>J330+J335+J326+J328</f>
        <v>27332171</v>
      </c>
      <c r="K325" s="184">
        <f>K330+K335+K326+K328</f>
        <v>548800</v>
      </c>
      <c r="L325" s="184">
        <f t="shared" si="15"/>
        <v>27880971</v>
      </c>
      <c r="M325" s="184">
        <f>M330+M335+M326+M328</f>
        <v>27828813</v>
      </c>
      <c r="N325" s="184">
        <f>N330+N335+N326+N328</f>
        <v>548800</v>
      </c>
      <c r="O325" s="184">
        <f t="shared" si="20"/>
        <v>28377613</v>
      </c>
    </row>
    <row r="326" spans="1:15" ht="32.25" customHeight="1">
      <c r="A326" s="197" t="s">
        <v>664</v>
      </c>
      <c r="B326" s="182" t="s">
        <v>797</v>
      </c>
      <c r="C326" s="182" t="s">
        <v>654</v>
      </c>
      <c r="D326" s="182" t="s">
        <v>185</v>
      </c>
      <c r="E326" s="182" t="s">
        <v>665</v>
      </c>
      <c r="F326" s="183"/>
      <c r="G326" s="184">
        <f>G327</f>
        <v>5659547</v>
      </c>
      <c r="H326" s="184"/>
      <c r="I326" s="184">
        <f t="shared" si="14"/>
        <v>5659547</v>
      </c>
      <c r="J326" s="184"/>
      <c r="K326" s="184"/>
      <c r="L326" s="184">
        <f t="shared" si="15"/>
        <v>0</v>
      </c>
      <c r="M326" s="184"/>
      <c r="N326" s="184"/>
      <c r="O326" s="184">
        <f t="shared" si="20"/>
        <v>0</v>
      </c>
    </row>
    <row r="327" spans="1:15" ht="38.25">
      <c r="A327" s="192" t="s">
        <v>194</v>
      </c>
      <c r="B327" s="182" t="s">
        <v>797</v>
      </c>
      <c r="C327" s="182" t="s">
        <v>654</v>
      </c>
      <c r="D327" s="182" t="s">
        <v>185</v>
      </c>
      <c r="E327" s="182" t="s">
        <v>665</v>
      </c>
      <c r="F327" s="183" t="s">
        <v>195</v>
      </c>
      <c r="G327" s="184">
        <v>5659547</v>
      </c>
      <c r="H327" s="184"/>
      <c r="I327" s="184">
        <f t="shared" si="14"/>
        <v>5659547</v>
      </c>
      <c r="J327" s="184"/>
      <c r="K327" s="184"/>
      <c r="L327" s="184">
        <f t="shared" si="15"/>
        <v>0</v>
      </c>
      <c r="M327" s="184"/>
      <c r="N327" s="184"/>
      <c r="O327" s="184">
        <f t="shared" si="20"/>
        <v>0</v>
      </c>
    </row>
    <row r="328" spans="1:15" ht="25.5">
      <c r="A328" s="197" t="s">
        <v>666</v>
      </c>
      <c r="B328" s="182" t="s">
        <v>797</v>
      </c>
      <c r="C328" s="182" t="s">
        <v>654</v>
      </c>
      <c r="D328" s="182" t="s">
        <v>185</v>
      </c>
      <c r="E328" s="182" t="s">
        <v>667</v>
      </c>
      <c r="F328" s="183"/>
      <c r="G328" s="184">
        <f>G329</f>
        <v>13031000</v>
      </c>
      <c r="H328" s="184"/>
      <c r="I328" s="184">
        <f t="shared" si="14"/>
        <v>13031000</v>
      </c>
      <c r="J328" s="184">
        <f>J329</f>
        <v>10783981</v>
      </c>
      <c r="K328" s="184"/>
      <c r="L328" s="184">
        <f t="shared" si="15"/>
        <v>10783981</v>
      </c>
      <c r="M328" s="184">
        <f>M329</f>
        <v>11000160</v>
      </c>
      <c r="N328" s="184"/>
      <c r="O328" s="184">
        <f t="shared" si="20"/>
        <v>11000160</v>
      </c>
    </row>
    <row r="329" spans="1:15" ht="38.25">
      <c r="A329" s="192" t="s">
        <v>194</v>
      </c>
      <c r="B329" s="182" t="s">
        <v>797</v>
      </c>
      <c r="C329" s="182" t="s">
        <v>654</v>
      </c>
      <c r="D329" s="182" t="s">
        <v>185</v>
      </c>
      <c r="E329" s="182" t="s">
        <v>667</v>
      </c>
      <c r="F329" s="183" t="s">
        <v>195</v>
      </c>
      <c r="G329" s="184">
        <f>10008450+3022550</f>
        <v>13031000</v>
      </c>
      <c r="H329" s="184"/>
      <c r="I329" s="184">
        <f t="shared" si="14"/>
        <v>13031000</v>
      </c>
      <c r="J329" s="184">
        <v>10783981</v>
      </c>
      <c r="K329" s="184"/>
      <c r="L329" s="184">
        <f t="shared" si="15"/>
        <v>10783981</v>
      </c>
      <c r="M329" s="184">
        <v>11000160</v>
      </c>
      <c r="N329" s="184"/>
      <c r="O329" s="184">
        <f t="shared" si="20"/>
        <v>11000160</v>
      </c>
    </row>
    <row r="330" spans="1:15" ht="18.75" customHeight="1">
      <c r="A330" s="199" t="s">
        <v>366</v>
      </c>
      <c r="B330" s="182" t="s">
        <v>797</v>
      </c>
      <c r="C330" s="182" t="s">
        <v>654</v>
      </c>
      <c r="D330" s="182" t="s">
        <v>185</v>
      </c>
      <c r="E330" s="182" t="s">
        <v>668</v>
      </c>
      <c r="F330" s="183"/>
      <c r="G330" s="184">
        <f>G331+G332+G334+G333</f>
        <v>19463400</v>
      </c>
      <c r="H330" s="184">
        <f>H331+H332+H334+H333</f>
        <v>548800</v>
      </c>
      <c r="I330" s="184">
        <f t="shared" si="14"/>
        <v>20012200</v>
      </c>
      <c r="J330" s="184">
        <f>J331+J332+J334+J333</f>
        <v>16548190</v>
      </c>
      <c r="K330" s="184">
        <f>K331+K332+K334+K333</f>
        <v>548800</v>
      </c>
      <c r="L330" s="184">
        <f t="shared" si="15"/>
        <v>17096990</v>
      </c>
      <c r="M330" s="184">
        <f>M331+M332+M334+M333</f>
        <v>16828653</v>
      </c>
      <c r="N330" s="184">
        <f>N331+N332+N334+N333</f>
        <v>548800</v>
      </c>
      <c r="O330" s="184">
        <f t="shared" si="20"/>
        <v>17377453</v>
      </c>
    </row>
    <row r="331" spans="1:15" ht="44.25" customHeight="1">
      <c r="A331" s="192" t="s">
        <v>194</v>
      </c>
      <c r="B331" s="182" t="s">
        <v>797</v>
      </c>
      <c r="C331" s="182" t="s">
        <v>654</v>
      </c>
      <c r="D331" s="182" t="s">
        <v>185</v>
      </c>
      <c r="E331" s="182" t="s">
        <v>668</v>
      </c>
      <c r="F331" s="183" t="s">
        <v>195</v>
      </c>
      <c r="G331" s="184">
        <f>12984640+3921360</f>
        <v>16906000</v>
      </c>
      <c r="H331" s="251"/>
      <c r="I331" s="184">
        <f aca="true" t="shared" si="21" ref="I331:I394">G331+H331</f>
        <v>16906000</v>
      </c>
      <c r="J331" s="184">
        <v>13990790</v>
      </c>
      <c r="K331" s="251"/>
      <c r="L331" s="184">
        <f t="shared" si="15"/>
        <v>13990790</v>
      </c>
      <c r="M331" s="184">
        <v>14271253</v>
      </c>
      <c r="N331" s="251"/>
      <c r="O331" s="184">
        <f t="shared" si="20"/>
        <v>14271253</v>
      </c>
    </row>
    <row r="332" spans="1:15" ht="19.5" customHeight="1">
      <c r="A332" s="192" t="s">
        <v>206</v>
      </c>
      <c r="B332" s="182" t="s">
        <v>797</v>
      </c>
      <c r="C332" s="182" t="s">
        <v>654</v>
      </c>
      <c r="D332" s="182" t="s">
        <v>185</v>
      </c>
      <c r="E332" s="182" t="s">
        <v>668</v>
      </c>
      <c r="F332" s="183" t="s">
        <v>207</v>
      </c>
      <c r="G332" s="184">
        <f>1498900+729300+80000</f>
        <v>2308200</v>
      </c>
      <c r="H332" s="251">
        <v>548800</v>
      </c>
      <c r="I332" s="184">
        <f t="shared" si="21"/>
        <v>2857000</v>
      </c>
      <c r="J332" s="184">
        <f>1498900+729300+80000</f>
        <v>2308200</v>
      </c>
      <c r="K332" s="251">
        <v>548800</v>
      </c>
      <c r="L332" s="184">
        <f t="shared" si="15"/>
        <v>2857000</v>
      </c>
      <c r="M332" s="184">
        <f>1498900+729300+80000</f>
        <v>2308200</v>
      </c>
      <c r="N332" s="251">
        <v>548800</v>
      </c>
      <c r="O332" s="184">
        <f t="shared" si="20"/>
        <v>2857000</v>
      </c>
    </row>
    <row r="333" spans="1:15" ht="15" hidden="1">
      <c r="A333" s="199" t="s">
        <v>429</v>
      </c>
      <c r="B333" s="182" t="s">
        <v>797</v>
      </c>
      <c r="C333" s="182" t="s">
        <v>654</v>
      </c>
      <c r="D333" s="182" t="s">
        <v>185</v>
      </c>
      <c r="E333" s="182" t="s">
        <v>668</v>
      </c>
      <c r="F333" s="183" t="s">
        <v>430</v>
      </c>
      <c r="G333" s="184"/>
      <c r="H333" s="251"/>
      <c r="I333" s="184">
        <f t="shared" si="21"/>
        <v>0</v>
      </c>
      <c r="J333" s="184"/>
      <c r="K333" s="251"/>
      <c r="L333" s="184">
        <f t="shared" si="15"/>
        <v>0</v>
      </c>
      <c r="M333" s="184"/>
      <c r="N333" s="251"/>
      <c r="O333" s="184">
        <f t="shared" si="20"/>
        <v>0</v>
      </c>
    </row>
    <row r="334" spans="1:15" ht="18.75" customHeight="1">
      <c r="A334" s="205" t="s">
        <v>274</v>
      </c>
      <c r="B334" s="182" t="s">
        <v>797</v>
      </c>
      <c r="C334" s="182" t="s">
        <v>654</v>
      </c>
      <c r="D334" s="182" t="s">
        <v>185</v>
      </c>
      <c r="E334" s="182" t="s">
        <v>668</v>
      </c>
      <c r="F334" s="183" t="s">
        <v>275</v>
      </c>
      <c r="G334" s="184">
        <f>242900+6300</f>
        <v>249200</v>
      </c>
      <c r="H334" s="251"/>
      <c r="I334" s="184">
        <f t="shared" si="21"/>
        <v>249200</v>
      </c>
      <c r="J334" s="184">
        <f>242900+6300</f>
        <v>249200</v>
      </c>
      <c r="K334" s="251"/>
      <c r="L334" s="184">
        <f t="shared" si="15"/>
        <v>249200</v>
      </c>
      <c r="M334" s="184">
        <f>242900+6300</f>
        <v>249200</v>
      </c>
      <c r="N334" s="251"/>
      <c r="O334" s="184">
        <f t="shared" si="20"/>
        <v>249200</v>
      </c>
    </row>
    <row r="335" spans="1:15" ht="25.5" hidden="1">
      <c r="A335" s="192" t="s">
        <v>669</v>
      </c>
      <c r="B335" s="182" t="s">
        <v>797</v>
      </c>
      <c r="C335" s="182" t="s">
        <v>399</v>
      </c>
      <c r="D335" s="182" t="s">
        <v>185</v>
      </c>
      <c r="E335" s="182" t="s">
        <v>670</v>
      </c>
      <c r="F335" s="183"/>
      <c r="G335" s="184">
        <f>G336</f>
        <v>0</v>
      </c>
      <c r="H335" s="251"/>
      <c r="I335" s="184">
        <f t="shared" si="21"/>
        <v>0</v>
      </c>
      <c r="J335" s="184">
        <f>J336</f>
        <v>0</v>
      </c>
      <c r="K335" s="251"/>
      <c r="L335" s="184">
        <f t="shared" si="15"/>
        <v>0</v>
      </c>
      <c r="M335" s="184">
        <f>M336</f>
        <v>0</v>
      </c>
      <c r="N335" s="251"/>
      <c r="O335" s="184">
        <f t="shared" si="20"/>
        <v>0</v>
      </c>
    </row>
    <row r="336" spans="1:15" ht="25.5" hidden="1">
      <c r="A336" s="192" t="s">
        <v>206</v>
      </c>
      <c r="B336" s="182" t="s">
        <v>797</v>
      </c>
      <c r="C336" s="182" t="s">
        <v>399</v>
      </c>
      <c r="D336" s="182" t="s">
        <v>185</v>
      </c>
      <c r="E336" s="182" t="s">
        <v>670</v>
      </c>
      <c r="F336" s="183" t="s">
        <v>207</v>
      </c>
      <c r="G336" s="184"/>
      <c r="H336" s="251"/>
      <c r="I336" s="184">
        <f t="shared" si="21"/>
        <v>0</v>
      </c>
      <c r="J336" s="184"/>
      <c r="K336" s="251"/>
      <c r="L336" s="184">
        <f t="shared" si="15"/>
        <v>0</v>
      </c>
      <c r="M336" s="184"/>
      <c r="N336" s="251"/>
      <c r="O336" s="184">
        <f t="shared" si="20"/>
        <v>0</v>
      </c>
    </row>
    <row r="337" spans="1:15" ht="29.25" customHeight="1">
      <c r="A337" s="199" t="s">
        <v>671</v>
      </c>
      <c r="B337" s="182" t="s">
        <v>797</v>
      </c>
      <c r="C337" s="182" t="s">
        <v>654</v>
      </c>
      <c r="D337" s="182" t="s">
        <v>185</v>
      </c>
      <c r="E337" s="207" t="s">
        <v>672</v>
      </c>
      <c r="F337" s="183"/>
      <c r="G337" s="184">
        <f>G343+G338</f>
        <v>13175800</v>
      </c>
      <c r="H337" s="184">
        <f>H343+H338</f>
        <v>0</v>
      </c>
      <c r="I337" s="184">
        <f t="shared" si="21"/>
        <v>13175800</v>
      </c>
      <c r="J337" s="184">
        <f>J343+J338</f>
        <v>11049314</v>
      </c>
      <c r="K337" s="184">
        <f>K343+K338</f>
        <v>0</v>
      </c>
      <c r="L337" s="184">
        <f t="shared" si="15"/>
        <v>11049314</v>
      </c>
      <c r="M337" s="184">
        <f>M343+M338</f>
        <v>11253896</v>
      </c>
      <c r="N337" s="184">
        <f>N343+N338</f>
        <v>0</v>
      </c>
      <c r="O337" s="184">
        <f t="shared" si="20"/>
        <v>11253896</v>
      </c>
    </row>
    <row r="338" spans="1:15" s="198" customFormat="1" ht="19.5" customHeight="1" hidden="1">
      <c r="A338" s="197" t="s">
        <v>656</v>
      </c>
      <c r="B338" s="182" t="s">
        <v>797</v>
      </c>
      <c r="C338" s="182" t="s">
        <v>654</v>
      </c>
      <c r="D338" s="182" t="s">
        <v>185</v>
      </c>
      <c r="E338" s="182" t="s">
        <v>673</v>
      </c>
      <c r="F338" s="183"/>
      <c r="G338" s="184">
        <f>G339+G341</f>
        <v>0</v>
      </c>
      <c r="H338" s="184">
        <f>H339+H341</f>
        <v>0</v>
      </c>
      <c r="I338" s="184">
        <f t="shared" si="21"/>
        <v>0</v>
      </c>
      <c r="J338" s="184">
        <f>J339+J341</f>
        <v>0</v>
      </c>
      <c r="K338" s="184">
        <f>K339+K341</f>
        <v>0</v>
      </c>
      <c r="L338" s="184">
        <f>J338+K338</f>
        <v>0</v>
      </c>
      <c r="M338" s="184">
        <f>M339+M341</f>
        <v>0</v>
      </c>
      <c r="N338" s="184">
        <f>N339+N341</f>
        <v>0</v>
      </c>
      <c r="O338" s="184">
        <f>M338+N338</f>
        <v>0</v>
      </c>
    </row>
    <row r="339" spans="1:15" s="198" customFormat="1" ht="28.5" customHeight="1" hidden="1">
      <c r="A339" s="199" t="s">
        <v>658</v>
      </c>
      <c r="B339" s="182" t="s">
        <v>797</v>
      </c>
      <c r="C339" s="182" t="s">
        <v>654</v>
      </c>
      <c r="D339" s="182" t="s">
        <v>185</v>
      </c>
      <c r="E339" s="182" t="s">
        <v>674</v>
      </c>
      <c r="F339" s="183"/>
      <c r="G339" s="184">
        <f>G340</f>
        <v>0</v>
      </c>
      <c r="H339" s="184"/>
      <c r="I339" s="184">
        <f t="shared" si="21"/>
        <v>0</v>
      </c>
      <c r="J339" s="184"/>
      <c r="K339" s="184"/>
      <c r="L339" s="184">
        <f>J339+K339</f>
        <v>0</v>
      </c>
      <c r="M339" s="184"/>
      <c r="N339" s="184"/>
      <c r="O339" s="184">
        <f>M339+N339</f>
        <v>0</v>
      </c>
    </row>
    <row r="340" spans="1:15" s="198" customFormat="1" ht="19.5" customHeight="1" hidden="1">
      <c r="A340" s="223" t="s">
        <v>244</v>
      </c>
      <c r="B340" s="182" t="s">
        <v>797</v>
      </c>
      <c r="C340" s="182" t="s">
        <v>654</v>
      </c>
      <c r="D340" s="182" t="s">
        <v>185</v>
      </c>
      <c r="E340" s="182" t="s">
        <v>674</v>
      </c>
      <c r="F340" s="183" t="s">
        <v>245</v>
      </c>
      <c r="G340" s="184"/>
      <c r="H340" s="184"/>
      <c r="I340" s="184">
        <f t="shared" si="21"/>
        <v>0</v>
      </c>
      <c r="J340" s="184"/>
      <c r="K340" s="184"/>
      <c r="L340" s="184">
        <f>J340+K340</f>
        <v>0</v>
      </c>
      <c r="M340" s="184"/>
      <c r="N340" s="184"/>
      <c r="O340" s="184">
        <f>M340+N340</f>
        <v>0</v>
      </c>
    </row>
    <row r="341" spans="1:15" s="198" customFormat="1" ht="28.5" customHeight="1" hidden="1">
      <c r="A341" s="199" t="s">
        <v>658</v>
      </c>
      <c r="B341" s="182" t="s">
        <v>797</v>
      </c>
      <c r="C341" s="182" t="s">
        <v>654</v>
      </c>
      <c r="D341" s="182" t="s">
        <v>185</v>
      </c>
      <c r="E341" s="182" t="s">
        <v>675</v>
      </c>
      <c r="F341" s="183"/>
      <c r="G341" s="184">
        <f>G342</f>
        <v>0</v>
      </c>
      <c r="H341" s="184"/>
      <c r="I341" s="184">
        <f t="shared" si="21"/>
        <v>0</v>
      </c>
      <c r="J341" s="184"/>
      <c r="K341" s="184"/>
      <c r="L341" s="184">
        <f>J341+K341</f>
        <v>0</v>
      </c>
      <c r="M341" s="184"/>
      <c r="N341" s="184"/>
      <c r="O341" s="184">
        <f>M341+N341</f>
        <v>0</v>
      </c>
    </row>
    <row r="342" spans="1:15" s="198" customFormat="1" ht="19.5" customHeight="1" hidden="1">
      <c r="A342" s="223" t="s">
        <v>244</v>
      </c>
      <c r="B342" s="182" t="s">
        <v>797</v>
      </c>
      <c r="C342" s="182" t="s">
        <v>654</v>
      </c>
      <c r="D342" s="182" t="s">
        <v>185</v>
      </c>
      <c r="E342" s="182" t="s">
        <v>675</v>
      </c>
      <c r="F342" s="183" t="s">
        <v>207</v>
      </c>
      <c r="G342" s="184"/>
      <c r="H342" s="184"/>
      <c r="I342" s="184">
        <f t="shared" si="21"/>
        <v>0</v>
      </c>
      <c r="J342" s="184"/>
      <c r="K342" s="184"/>
      <c r="L342" s="184">
        <f>J342+K342</f>
        <v>0</v>
      </c>
      <c r="M342" s="184"/>
      <c r="N342" s="184"/>
      <c r="O342" s="184">
        <f>M342+N342</f>
        <v>0</v>
      </c>
    </row>
    <row r="343" spans="1:15" ht="32.25" customHeight="1">
      <c r="A343" s="199" t="s">
        <v>676</v>
      </c>
      <c r="B343" s="182" t="s">
        <v>797</v>
      </c>
      <c r="C343" s="182" t="s">
        <v>654</v>
      </c>
      <c r="D343" s="182" t="s">
        <v>185</v>
      </c>
      <c r="E343" s="207" t="s">
        <v>677</v>
      </c>
      <c r="F343" s="183"/>
      <c r="G343" s="184">
        <f>G344</f>
        <v>13175800</v>
      </c>
      <c r="H343" s="251"/>
      <c r="I343" s="184">
        <f t="shared" si="21"/>
        <v>13175800</v>
      </c>
      <c r="J343" s="184">
        <f>J344</f>
        <v>11049314</v>
      </c>
      <c r="K343" s="251"/>
      <c r="L343" s="184">
        <f aca="true" t="shared" si="22" ref="L343:L361">J343+K343</f>
        <v>11049314</v>
      </c>
      <c r="M343" s="184">
        <f>M344</f>
        <v>11253896</v>
      </c>
      <c r="N343" s="251"/>
      <c r="O343" s="184">
        <f aca="true" t="shared" si="23" ref="O343:O406">M343+N343</f>
        <v>11253896</v>
      </c>
    </row>
    <row r="344" spans="1:15" ht="15">
      <c r="A344" s="199" t="s">
        <v>366</v>
      </c>
      <c r="B344" s="182" t="s">
        <v>797</v>
      </c>
      <c r="C344" s="182" t="s">
        <v>654</v>
      </c>
      <c r="D344" s="182" t="s">
        <v>185</v>
      </c>
      <c r="E344" s="207" t="s">
        <v>678</v>
      </c>
      <c r="F344" s="183"/>
      <c r="G344" s="184">
        <f>G345+G346+G347</f>
        <v>13175800</v>
      </c>
      <c r="H344" s="251">
        <f>H345+H346+H347</f>
        <v>0</v>
      </c>
      <c r="I344" s="184">
        <f t="shared" si="21"/>
        <v>13175800</v>
      </c>
      <c r="J344" s="184">
        <f>J345+J346+J347</f>
        <v>11049314</v>
      </c>
      <c r="K344" s="251">
        <f>K345+K346+K347</f>
        <v>0</v>
      </c>
      <c r="L344" s="184">
        <f t="shared" si="22"/>
        <v>11049314</v>
      </c>
      <c r="M344" s="184">
        <f>M345+M346+M347</f>
        <v>11253896</v>
      </c>
      <c r="N344" s="251">
        <f>N345+N346+N347</f>
        <v>0</v>
      </c>
      <c r="O344" s="184">
        <f t="shared" si="23"/>
        <v>11253896</v>
      </c>
    </row>
    <row r="345" spans="1:15" ht="40.5" customHeight="1">
      <c r="A345" s="192" t="s">
        <v>194</v>
      </c>
      <c r="B345" s="182" t="s">
        <v>797</v>
      </c>
      <c r="C345" s="182" t="s">
        <v>654</v>
      </c>
      <c r="D345" s="182" t="s">
        <v>185</v>
      </c>
      <c r="E345" s="207" t="s">
        <v>678</v>
      </c>
      <c r="F345" s="183" t="s">
        <v>195</v>
      </c>
      <c r="G345" s="184">
        <f>12332000</f>
        <v>12332000</v>
      </c>
      <c r="H345" s="251"/>
      <c r="I345" s="184">
        <f t="shared" si="21"/>
        <v>12332000</v>
      </c>
      <c r="J345" s="184">
        <v>10205514</v>
      </c>
      <c r="K345" s="251"/>
      <c r="L345" s="184">
        <f t="shared" si="22"/>
        <v>10205514</v>
      </c>
      <c r="M345" s="184">
        <v>10410096</v>
      </c>
      <c r="N345" s="251"/>
      <c r="O345" s="184">
        <f t="shared" si="23"/>
        <v>10410096</v>
      </c>
    </row>
    <row r="346" spans="1:15" ht="18.75" customHeight="1">
      <c r="A346" s="192" t="s">
        <v>206</v>
      </c>
      <c r="B346" s="182" t="s">
        <v>797</v>
      </c>
      <c r="C346" s="182" t="s">
        <v>654</v>
      </c>
      <c r="D346" s="182" t="s">
        <v>185</v>
      </c>
      <c r="E346" s="207" t="s">
        <v>678</v>
      </c>
      <c r="F346" s="183" t="s">
        <v>207</v>
      </c>
      <c r="G346" s="184">
        <f>702300+109700</f>
        <v>812000</v>
      </c>
      <c r="H346" s="251"/>
      <c r="I346" s="184">
        <f t="shared" si="21"/>
        <v>812000</v>
      </c>
      <c r="J346" s="184">
        <f>702300+109700</f>
        <v>812000</v>
      </c>
      <c r="K346" s="251"/>
      <c r="L346" s="184">
        <f t="shared" si="22"/>
        <v>812000</v>
      </c>
      <c r="M346" s="184">
        <f>702300+109700</f>
        <v>812000</v>
      </c>
      <c r="N346" s="251"/>
      <c r="O346" s="184">
        <f t="shared" si="23"/>
        <v>812000</v>
      </c>
    </row>
    <row r="347" spans="1:15" ht="21" customHeight="1">
      <c r="A347" s="205" t="s">
        <v>274</v>
      </c>
      <c r="B347" s="182" t="s">
        <v>797</v>
      </c>
      <c r="C347" s="182" t="s">
        <v>654</v>
      </c>
      <c r="D347" s="182" t="s">
        <v>185</v>
      </c>
      <c r="E347" s="207" t="s">
        <v>678</v>
      </c>
      <c r="F347" s="183" t="s">
        <v>275</v>
      </c>
      <c r="G347" s="184">
        <f>31800</f>
        <v>31800</v>
      </c>
      <c r="H347" s="251"/>
      <c r="I347" s="184">
        <f t="shared" si="21"/>
        <v>31800</v>
      </c>
      <c r="J347" s="184">
        <f>31800</f>
        <v>31800</v>
      </c>
      <c r="K347" s="251"/>
      <c r="L347" s="184">
        <f t="shared" si="22"/>
        <v>31800</v>
      </c>
      <c r="M347" s="184">
        <f>31800</f>
        <v>31800</v>
      </c>
      <c r="N347" s="251"/>
      <c r="O347" s="184">
        <f t="shared" si="23"/>
        <v>31800</v>
      </c>
    </row>
    <row r="348" spans="1:15" ht="25.5" hidden="1">
      <c r="A348" s="199" t="s">
        <v>370</v>
      </c>
      <c r="B348" s="182" t="s">
        <v>797</v>
      </c>
      <c r="C348" s="182" t="s">
        <v>654</v>
      </c>
      <c r="D348" s="182" t="s">
        <v>185</v>
      </c>
      <c r="E348" s="207" t="s">
        <v>371</v>
      </c>
      <c r="F348" s="183"/>
      <c r="G348" s="184">
        <f>G349</f>
        <v>0</v>
      </c>
      <c r="H348" s="251"/>
      <c r="I348" s="184">
        <f t="shared" si="21"/>
        <v>0</v>
      </c>
      <c r="J348" s="184">
        <f>J349</f>
        <v>0</v>
      </c>
      <c r="K348" s="251"/>
      <c r="L348" s="184">
        <f t="shared" si="22"/>
        <v>0</v>
      </c>
      <c r="M348" s="184">
        <f>M349</f>
        <v>0</v>
      </c>
      <c r="N348" s="251"/>
      <c r="O348" s="184">
        <f t="shared" si="23"/>
        <v>0</v>
      </c>
    </row>
    <row r="349" spans="1:15" ht="25.5" hidden="1">
      <c r="A349" s="192" t="s">
        <v>372</v>
      </c>
      <c r="B349" s="182" t="s">
        <v>797</v>
      </c>
      <c r="C349" s="182" t="s">
        <v>654</v>
      </c>
      <c r="D349" s="182" t="s">
        <v>185</v>
      </c>
      <c r="E349" s="207" t="s">
        <v>373</v>
      </c>
      <c r="F349" s="183"/>
      <c r="G349" s="184">
        <f>G350</f>
        <v>0</v>
      </c>
      <c r="H349" s="251"/>
      <c r="I349" s="184">
        <f t="shared" si="21"/>
        <v>0</v>
      </c>
      <c r="J349" s="184">
        <f>J350</f>
        <v>0</v>
      </c>
      <c r="K349" s="251"/>
      <c r="L349" s="184">
        <f t="shared" si="22"/>
        <v>0</v>
      </c>
      <c r="M349" s="184">
        <f>M350</f>
        <v>0</v>
      </c>
      <c r="N349" s="251"/>
      <c r="O349" s="184">
        <f t="shared" si="23"/>
        <v>0</v>
      </c>
    </row>
    <row r="350" spans="1:15" ht="15" hidden="1">
      <c r="A350" s="192" t="s">
        <v>679</v>
      </c>
      <c r="B350" s="182" t="s">
        <v>797</v>
      </c>
      <c r="C350" s="182" t="s">
        <v>654</v>
      </c>
      <c r="D350" s="182" t="s">
        <v>185</v>
      </c>
      <c r="E350" s="190" t="s">
        <v>680</v>
      </c>
      <c r="F350" s="183"/>
      <c r="G350" s="184">
        <f>G351</f>
        <v>0</v>
      </c>
      <c r="H350" s="251"/>
      <c r="I350" s="184">
        <f t="shared" si="21"/>
        <v>0</v>
      </c>
      <c r="J350" s="184">
        <f>J351</f>
        <v>0</v>
      </c>
      <c r="K350" s="251"/>
      <c r="L350" s="184">
        <f t="shared" si="22"/>
        <v>0</v>
      </c>
      <c r="M350" s="184">
        <f>M351</f>
        <v>0</v>
      </c>
      <c r="N350" s="251"/>
      <c r="O350" s="184">
        <f t="shared" si="23"/>
        <v>0</v>
      </c>
    </row>
    <row r="351" spans="1:15" ht="15" hidden="1">
      <c r="A351" s="199" t="s">
        <v>244</v>
      </c>
      <c r="B351" s="182" t="s">
        <v>797</v>
      </c>
      <c r="C351" s="182" t="s">
        <v>654</v>
      </c>
      <c r="D351" s="182" t="s">
        <v>185</v>
      </c>
      <c r="E351" s="190" t="s">
        <v>680</v>
      </c>
      <c r="F351" s="183" t="s">
        <v>245</v>
      </c>
      <c r="G351" s="184"/>
      <c r="H351" s="251"/>
      <c r="I351" s="184">
        <f t="shared" si="21"/>
        <v>0</v>
      </c>
      <c r="J351" s="184"/>
      <c r="K351" s="251"/>
      <c r="L351" s="184">
        <f t="shared" si="22"/>
        <v>0</v>
      </c>
      <c r="M351" s="184"/>
      <c r="N351" s="251"/>
      <c r="O351" s="184">
        <f t="shared" si="23"/>
        <v>0</v>
      </c>
    </row>
    <row r="352" spans="1:15" ht="44.25" customHeight="1">
      <c r="A352" s="199" t="s">
        <v>681</v>
      </c>
      <c r="B352" s="182" t="s">
        <v>797</v>
      </c>
      <c r="C352" s="182" t="s">
        <v>654</v>
      </c>
      <c r="D352" s="182" t="s">
        <v>185</v>
      </c>
      <c r="E352" s="182" t="s">
        <v>682</v>
      </c>
      <c r="F352" s="183"/>
      <c r="G352" s="184">
        <f>G353</f>
        <v>2042515</v>
      </c>
      <c r="H352" s="251"/>
      <c r="I352" s="184">
        <f t="shared" si="21"/>
        <v>2042515</v>
      </c>
      <c r="J352" s="184">
        <f>J353</f>
        <v>2042515</v>
      </c>
      <c r="K352" s="251"/>
      <c r="L352" s="184">
        <f t="shared" si="22"/>
        <v>2042515</v>
      </c>
      <c r="M352" s="184">
        <f>M353</f>
        <v>2042515</v>
      </c>
      <c r="N352" s="251"/>
      <c r="O352" s="184">
        <f t="shared" si="23"/>
        <v>2042515</v>
      </c>
    </row>
    <row r="353" spans="1:15" ht="25.5">
      <c r="A353" s="192" t="s">
        <v>683</v>
      </c>
      <c r="B353" s="182" t="s">
        <v>797</v>
      </c>
      <c r="C353" s="182" t="s">
        <v>654</v>
      </c>
      <c r="D353" s="182" t="s">
        <v>185</v>
      </c>
      <c r="E353" s="182" t="s">
        <v>684</v>
      </c>
      <c r="F353" s="183"/>
      <c r="G353" s="184">
        <f>G354</f>
        <v>2042515</v>
      </c>
      <c r="H353" s="184">
        <f>H354</f>
        <v>0</v>
      </c>
      <c r="I353" s="184">
        <f t="shared" si="21"/>
        <v>2042515</v>
      </c>
      <c r="J353" s="184">
        <f>J354</f>
        <v>2042515</v>
      </c>
      <c r="K353" s="184">
        <f>K354</f>
        <v>0</v>
      </c>
      <c r="L353" s="184">
        <f t="shared" si="22"/>
        <v>2042515</v>
      </c>
      <c r="M353" s="184">
        <f>M354</f>
        <v>2042515</v>
      </c>
      <c r="N353" s="184">
        <f>N354</f>
        <v>0</v>
      </c>
      <c r="O353" s="184">
        <f t="shared" si="23"/>
        <v>2042515</v>
      </c>
    </row>
    <row r="354" spans="1:15" ht="40.5" customHeight="1">
      <c r="A354" s="192" t="s">
        <v>685</v>
      </c>
      <c r="B354" s="182" t="s">
        <v>797</v>
      </c>
      <c r="C354" s="182" t="s">
        <v>654</v>
      </c>
      <c r="D354" s="182" t="s">
        <v>185</v>
      </c>
      <c r="E354" s="182" t="s">
        <v>686</v>
      </c>
      <c r="F354" s="183"/>
      <c r="G354" s="184">
        <f>G355+G356</f>
        <v>2042515</v>
      </c>
      <c r="H354" s="184">
        <f>H355+H356</f>
        <v>0</v>
      </c>
      <c r="I354" s="184">
        <f t="shared" si="21"/>
        <v>2042515</v>
      </c>
      <c r="J354" s="184">
        <f>J355+J356</f>
        <v>2042515</v>
      </c>
      <c r="K354" s="184">
        <f>K355+K356</f>
        <v>0</v>
      </c>
      <c r="L354" s="184">
        <f t="shared" si="22"/>
        <v>2042515</v>
      </c>
      <c r="M354" s="184">
        <f>M355+M356</f>
        <v>2042515</v>
      </c>
      <c r="N354" s="184">
        <f>N355+N356</f>
        <v>0</v>
      </c>
      <c r="O354" s="184">
        <f t="shared" si="23"/>
        <v>2042515</v>
      </c>
    </row>
    <row r="355" spans="1:15" ht="38.25">
      <c r="A355" s="192" t="s">
        <v>194</v>
      </c>
      <c r="B355" s="182" t="s">
        <v>797</v>
      </c>
      <c r="C355" s="182" t="s">
        <v>654</v>
      </c>
      <c r="D355" s="182" t="s">
        <v>185</v>
      </c>
      <c r="E355" s="182" t="s">
        <v>686</v>
      </c>
      <c r="F355" s="183" t="s">
        <v>195</v>
      </c>
      <c r="G355" s="184">
        <v>1488115</v>
      </c>
      <c r="H355" s="251"/>
      <c r="I355" s="184">
        <f t="shared" si="21"/>
        <v>1488115</v>
      </c>
      <c r="J355" s="184">
        <v>1488115</v>
      </c>
      <c r="K355" s="251"/>
      <c r="L355" s="184">
        <f t="shared" si="22"/>
        <v>1488115</v>
      </c>
      <c r="M355" s="184">
        <v>1488115</v>
      </c>
      <c r="N355" s="251"/>
      <c r="O355" s="184">
        <f t="shared" si="23"/>
        <v>1488115</v>
      </c>
    </row>
    <row r="356" spans="1:15" ht="15">
      <c r="A356" s="223" t="s">
        <v>244</v>
      </c>
      <c r="B356" s="182" t="s">
        <v>797</v>
      </c>
      <c r="C356" s="182" t="s">
        <v>654</v>
      </c>
      <c r="D356" s="182" t="s">
        <v>185</v>
      </c>
      <c r="E356" s="182" t="s">
        <v>686</v>
      </c>
      <c r="F356" s="183" t="s">
        <v>245</v>
      </c>
      <c r="G356" s="184">
        <v>554400</v>
      </c>
      <c r="H356" s="251"/>
      <c r="I356" s="184">
        <f t="shared" si="21"/>
        <v>554400</v>
      </c>
      <c r="J356" s="184">
        <v>554400</v>
      </c>
      <c r="K356" s="251"/>
      <c r="L356" s="184">
        <f t="shared" si="22"/>
        <v>554400</v>
      </c>
      <c r="M356" s="184">
        <v>554400</v>
      </c>
      <c r="N356" s="251"/>
      <c r="O356" s="184">
        <f t="shared" si="23"/>
        <v>554400</v>
      </c>
    </row>
    <row r="357" spans="1:15" ht="25.5">
      <c r="A357" s="209" t="s">
        <v>687</v>
      </c>
      <c r="B357" s="182" t="s">
        <v>797</v>
      </c>
      <c r="C357" s="182" t="s">
        <v>654</v>
      </c>
      <c r="D357" s="182" t="s">
        <v>185</v>
      </c>
      <c r="E357" s="182" t="s">
        <v>601</v>
      </c>
      <c r="F357" s="193"/>
      <c r="G357" s="184">
        <f>G358</f>
        <v>10000</v>
      </c>
      <c r="H357" s="251"/>
      <c r="I357" s="184">
        <f t="shared" si="21"/>
        <v>10000</v>
      </c>
      <c r="J357" s="184">
        <f>J358</f>
        <v>10000</v>
      </c>
      <c r="K357" s="251"/>
      <c r="L357" s="184">
        <f t="shared" si="22"/>
        <v>10000</v>
      </c>
      <c r="M357" s="184">
        <f>M358</f>
        <v>10000</v>
      </c>
      <c r="N357" s="251"/>
      <c r="O357" s="184">
        <f t="shared" si="23"/>
        <v>10000</v>
      </c>
    </row>
    <row r="358" spans="1:15" ht="40.5" customHeight="1">
      <c r="A358" s="197" t="s">
        <v>602</v>
      </c>
      <c r="B358" s="182" t="s">
        <v>797</v>
      </c>
      <c r="C358" s="182" t="s">
        <v>654</v>
      </c>
      <c r="D358" s="182" t="s">
        <v>185</v>
      </c>
      <c r="E358" s="182" t="s">
        <v>603</v>
      </c>
      <c r="F358" s="193"/>
      <c r="G358" s="184">
        <f>G359</f>
        <v>10000</v>
      </c>
      <c r="H358" s="251"/>
      <c r="I358" s="184">
        <f t="shared" si="21"/>
        <v>10000</v>
      </c>
      <c r="J358" s="184">
        <f>J359</f>
        <v>10000</v>
      </c>
      <c r="K358" s="251"/>
      <c r="L358" s="184">
        <f t="shared" si="22"/>
        <v>10000</v>
      </c>
      <c r="M358" s="184">
        <f>M359</f>
        <v>10000</v>
      </c>
      <c r="N358" s="251"/>
      <c r="O358" s="184">
        <f t="shared" si="23"/>
        <v>10000</v>
      </c>
    </row>
    <row r="359" spans="1:15" ht="32.25" customHeight="1">
      <c r="A359" s="200" t="s">
        <v>604</v>
      </c>
      <c r="B359" s="182" t="s">
        <v>797</v>
      </c>
      <c r="C359" s="182" t="s">
        <v>654</v>
      </c>
      <c r="D359" s="182" t="s">
        <v>185</v>
      </c>
      <c r="E359" s="182" t="s">
        <v>605</v>
      </c>
      <c r="F359" s="193"/>
      <c r="G359" s="184">
        <f>G360</f>
        <v>10000</v>
      </c>
      <c r="H359" s="251"/>
      <c r="I359" s="184">
        <f t="shared" si="21"/>
        <v>10000</v>
      </c>
      <c r="J359" s="184">
        <f>J360</f>
        <v>10000</v>
      </c>
      <c r="K359" s="251"/>
      <c r="L359" s="184">
        <f t="shared" si="22"/>
        <v>10000</v>
      </c>
      <c r="M359" s="184">
        <f>M360</f>
        <v>10000</v>
      </c>
      <c r="N359" s="251"/>
      <c r="O359" s="184">
        <f t="shared" si="23"/>
        <v>10000</v>
      </c>
    </row>
    <row r="360" spans="1:15" ht="18.75" customHeight="1">
      <c r="A360" s="200" t="s">
        <v>606</v>
      </c>
      <c r="B360" s="182" t="s">
        <v>797</v>
      </c>
      <c r="C360" s="182" t="s">
        <v>654</v>
      </c>
      <c r="D360" s="182" t="s">
        <v>185</v>
      </c>
      <c r="E360" s="182" t="s">
        <v>607</v>
      </c>
      <c r="F360" s="193"/>
      <c r="G360" s="184">
        <f>G361</f>
        <v>10000</v>
      </c>
      <c r="H360" s="251"/>
      <c r="I360" s="184">
        <f t="shared" si="21"/>
        <v>10000</v>
      </c>
      <c r="J360" s="184">
        <f>J361</f>
        <v>10000</v>
      </c>
      <c r="K360" s="251"/>
      <c r="L360" s="184">
        <f t="shared" si="22"/>
        <v>10000</v>
      </c>
      <c r="M360" s="184">
        <f>M361</f>
        <v>10000</v>
      </c>
      <c r="N360" s="251"/>
      <c r="O360" s="184">
        <f t="shared" si="23"/>
        <v>10000</v>
      </c>
    </row>
    <row r="361" spans="1:15" ht="15.75" customHeight="1">
      <c r="A361" s="192" t="s">
        <v>206</v>
      </c>
      <c r="B361" s="182" t="s">
        <v>797</v>
      </c>
      <c r="C361" s="182" t="s">
        <v>654</v>
      </c>
      <c r="D361" s="182" t="s">
        <v>185</v>
      </c>
      <c r="E361" s="182" t="s">
        <v>607</v>
      </c>
      <c r="F361" s="183" t="s">
        <v>207</v>
      </c>
      <c r="G361" s="184">
        <f>10000</f>
        <v>10000</v>
      </c>
      <c r="H361" s="251"/>
      <c r="I361" s="184">
        <f t="shared" si="21"/>
        <v>10000</v>
      </c>
      <c r="J361" s="184">
        <f>10000</f>
        <v>10000</v>
      </c>
      <c r="K361" s="251"/>
      <c r="L361" s="184">
        <f t="shared" si="22"/>
        <v>10000</v>
      </c>
      <c r="M361" s="184">
        <f>10000</f>
        <v>10000</v>
      </c>
      <c r="N361" s="251"/>
      <c r="O361" s="184">
        <f t="shared" si="23"/>
        <v>10000</v>
      </c>
    </row>
    <row r="362" spans="1:15" ht="15">
      <c r="A362" s="199" t="s">
        <v>688</v>
      </c>
      <c r="B362" s="182" t="s">
        <v>797</v>
      </c>
      <c r="C362" s="182" t="s">
        <v>407</v>
      </c>
      <c r="D362" s="182"/>
      <c r="E362" s="207"/>
      <c r="F362" s="210"/>
      <c r="G362" s="184">
        <f>G363</f>
        <v>944546</v>
      </c>
      <c r="H362" s="251"/>
      <c r="I362" s="184">
        <f t="shared" si="21"/>
        <v>944546</v>
      </c>
      <c r="J362" s="184">
        <f>J363</f>
        <v>944546</v>
      </c>
      <c r="K362" s="251"/>
      <c r="L362" s="184">
        <f t="shared" si="15"/>
        <v>944546</v>
      </c>
      <c r="M362" s="184">
        <f>M363</f>
        <v>944546</v>
      </c>
      <c r="N362" s="251"/>
      <c r="O362" s="184">
        <f t="shared" si="23"/>
        <v>944546</v>
      </c>
    </row>
    <row r="363" spans="1:15" ht="15">
      <c r="A363" s="199" t="s">
        <v>689</v>
      </c>
      <c r="B363" s="182" t="s">
        <v>797</v>
      </c>
      <c r="C363" s="182" t="s">
        <v>407</v>
      </c>
      <c r="D363" s="182" t="s">
        <v>269</v>
      </c>
      <c r="E363" s="182"/>
      <c r="F363" s="183"/>
      <c r="G363" s="184">
        <f>G364</f>
        <v>944546</v>
      </c>
      <c r="H363" s="251"/>
      <c r="I363" s="184">
        <f t="shared" si="21"/>
        <v>944546</v>
      </c>
      <c r="J363" s="184">
        <f>J364</f>
        <v>944546</v>
      </c>
      <c r="K363" s="251"/>
      <c r="L363" s="184">
        <f t="shared" si="15"/>
        <v>944546</v>
      </c>
      <c r="M363" s="184">
        <f>M364</f>
        <v>944546</v>
      </c>
      <c r="N363" s="251"/>
      <c r="O363" s="184">
        <f t="shared" si="23"/>
        <v>944546</v>
      </c>
    </row>
    <row r="364" spans="1:15" ht="15">
      <c r="A364" s="199" t="s">
        <v>246</v>
      </c>
      <c r="B364" s="182" t="s">
        <v>797</v>
      </c>
      <c r="C364" s="182" t="s">
        <v>407</v>
      </c>
      <c r="D364" s="182" t="s">
        <v>269</v>
      </c>
      <c r="E364" s="204" t="s">
        <v>247</v>
      </c>
      <c r="F364" s="193"/>
      <c r="G364" s="184">
        <f>G365</f>
        <v>944546</v>
      </c>
      <c r="H364" s="251"/>
      <c r="I364" s="184">
        <f t="shared" si="21"/>
        <v>944546</v>
      </c>
      <c r="J364" s="184">
        <f>J365</f>
        <v>944546</v>
      </c>
      <c r="K364" s="251"/>
      <c r="L364" s="184">
        <f t="shared" si="15"/>
        <v>944546</v>
      </c>
      <c r="M364" s="184">
        <f>M365</f>
        <v>944546</v>
      </c>
      <c r="N364" s="251"/>
      <c r="O364" s="184">
        <f t="shared" si="23"/>
        <v>944546</v>
      </c>
    </row>
    <row r="365" spans="1:15" ht="15">
      <c r="A365" s="199" t="s">
        <v>253</v>
      </c>
      <c r="B365" s="182" t="s">
        <v>797</v>
      </c>
      <c r="C365" s="182" t="s">
        <v>407</v>
      </c>
      <c r="D365" s="182" t="s">
        <v>269</v>
      </c>
      <c r="E365" s="182" t="s">
        <v>254</v>
      </c>
      <c r="F365" s="183"/>
      <c r="G365" s="184">
        <f>G366+G368</f>
        <v>944546</v>
      </c>
      <c r="H365" s="251"/>
      <c r="I365" s="184">
        <f t="shared" si="21"/>
        <v>944546</v>
      </c>
      <c r="J365" s="184">
        <f>J366+J368</f>
        <v>944546</v>
      </c>
      <c r="K365" s="251"/>
      <c r="L365" s="184">
        <f t="shared" si="15"/>
        <v>944546</v>
      </c>
      <c r="M365" s="184">
        <f>M366+M368</f>
        <v>944546</v>
      </c>
      <c r="N365" s="251"/>
      <c r="O365" s="184">
        <f t="shared" si="23"/>
        <v>944546</v>
      </c>
    </row>
    <row r="366" spans="1:15" ht="25.5">
      <c r="A366" s="202" t="s">
        <v>690</v>
      </c>
      <c r="B366" s="182" t="s">
        <v>797</v>
      </c>
      <c r="C366" s="182" t="s">
        <v>407</v>
      </c>
      <c r="D366" s="182" t="s">
        <v>269</v>
      </c>
      <c r="E366" s="182" t="s">
        <v>691</v>
      </c>
      <c r="F366" s="183"/>
      <c r="G366" s="184">
        <f>G367</f>
        <v>944546</v>
      </c>
      <c r="H366" s="251"/>
      <c r="I366" s="184">
        <f t="shared" si="21"/>
        <v>944546</v>
      </c>
      <c r="J366" s="184">
        <f>J367</f>
        <v>944546</v>
      </c>
      <c r="K366" s="251"/>
      <c r="L366" s="184">
        <f t="shared" si="15"/>
        <v>944546</v>
      </c>
      <c r="M366" s="184">
        <f>M367</f>
        <v>944546</v>
      </c>
      <c r="N366" s="251"/>
      <c r="O366" s="184">
        <f t="shared" si="23"/>
        <v>944546</v>
      </c>
    </row>
    <row r="367" spans="1:15" ht="17.25" customHeight="1">
      <c r="A367" s="192" t="s">
        <v>206</v>
      </c>
      <c r="B367" s="182" t="s">
        <v>797</v>
      </c>
      <c r="C367" s="182" t="s">
        <v>407</v>
      </c>
      <c r="D367" s="182" t="s">
        <v>269</v>
      </c>
      <c r="E367" s="182" t="s">
        <v>691</v>
      </c>
      <c r="F367" s="193" t="s">
        <v>207</v>
      </c>
      <c r="G367" s="184">
        <v>944546</v>
      </c>
      <c r="H367" s="251"/>
      <c r="I367" s="184">
        <f t="shared" si="21"/>
        <v>944546</v>
      </c>
      <c r="J367" s="184">
        <v>944546</v>
      </c>
      <c r="K367" s="251"/>
      <c r="L367" s="184">
        <f t="shared" si="15"/>
        <v>944546</v>
      </c>
      <c r="M367" s="184">
        <v>944546</v>
      </c>
      <c r="N367" s="251"/>
      <c r="O367" s="184">
        <f t="shared" si="23"/>
        <v>944546</v>
      </c>
    </row>
    <row r="368" spans="1:15" ht="46.5" customHeight="1" hidden="1">
      <c r="A368" s="199" t="s">
        <v>692</v>
      </c>
      <c r="B368" s="182" t="s">
        <v>797</v>
      </c>
      <c r="C368" s="182" t="s">
        <v>407</v>
      </c>
      <c r="D368" s="182" t="s">
        <v>269</v>
      </c>
      <c r="E368" s="182" t="s">
        <v>256</v>
      </c>
      <c r="F368" s="183"/>
      <c r="G368" s="184">
        <f>G369</f>
        <v>0</v>
      </c>
      <c r="H368" s="251"/>
      <c r="I368" s="184">
        <f t="shared" si="21"/>
        <v>0</v>
      </c>
      <c r="J368" s="184">
        <f>J369</f>
        <v>0</v>
      </c>
      <c r="K368" s="251"/>
      <c r="L368" s="184">
        <f t="shared" si="15"/>
        <v>0</v>
      </c>
      <c r="M368" s="184">
        <f>M369</f>
        <v>0</v>
      </c>
      <c r="N368" s="251"/>
      <c r="O368" s="184">
        <f t="shared" si="23"/>
        <v>0</v>
      </c>
    </row>
    <row r="369" spans="1:15" ht="25.5" hidden="1">
      <c r="A369" s="192" t="s">
        <v>206</v>
      </c>
      <c r="B369" s="182" t="s">
        <v>797</v>
      </c>
      <c r="C369" s="182" t="s">
        <v>407</v>
      </c>
      <c r="D369" s="182" t="s">
        <v>269</v>
      </c>
      <c r="E369" s="182" t="s">
        <v>256</v>
      </c>
      <c r="F369" s="193" t="s">
        <v>195</v>
      </c>
      <c r="G369" s="184"/>
      <c r="H369" s="251"/>
      <c r="I369" s="184">
        <f t="shared" si="21"/>
        <v>0</v>
      </c>
      <c r="J369" s="184"/>
      <c r="K369" s="251"/>
      <c r="L369" s="184">
        <f t="shared" si="15"/>
        <v>0</v>
      </c>
      <c r="M369" s="184"/>
      <c r="N369" s="251"/>
      <c r="O369" s="184">
        <f t="shared" si="23"/>
        <v>0</v>
      </c>
    </row>
    <row r="370" spans="1:15" ht="17.25" customHeight="1">
      <c r="A370" s="199" t="s">
        <v>693</v>
      </c>
      <c r="B370" s="182" t="s">
        <v>797</v>
      </c>
      <c r="C370" s="182" t="s">
        <v>378</v>
      </c>
      <c r="D370" s="182"/>
      <c r="E370" s="207"/>
      <c r="F370" s="210"/>
      <c r="G370" s="184">
        <f>G371+G377+G390+G405</f>
        <v>35700245</v>
      </c>
      <c r="H370" s="251"/>
      <c r="I370" s="184">
        <f t="shared" si="21"/>
        <v>35700245</v>
      </c>
      <c r="J370" s="184">
        <f>J371+J377+J390+J405</f>
        <v>27231558</v>
      </c>
      <c r="K370" s="251"/>
      <c r="L370" s="184">
        <f t="shared" si="15"/>
        <v>27231558</v>
      </c>
      <c r="M370" s="184">
        <f>M371+M377+M390+M405</f>
        <v>41888993</v>
      </c>
      <c r="N370" s="251"/>
      <c r="O370" s="184">
        <f t="shared" si="23"/>
        <v>41888993</v>
      </c>
    </row>
    <row r="371" spans="1:15" ht="15">
      <c r="A371" s="199" t="s">
        <v>694</v>
      </c>
      <c r="B371" s="182" t="s">
        <v>797</v>
      </c>
      <c r="C371" s="182" t="s">
        <v>378</v>
      </c>
      <c r="D371" s="182" t="s">
        <v>185</v>
      </c>
      <c r="E371" s="182"/>
      <c r="F371" s="183"/>
      <c r="G371" s="184">
        <f>G372</f>
        <v>195100</v>
      </c>
      <c r="H371" s="251"/>
      <c r="I371" s="184">
        <f t="shared" si="21"/>
        <v>195100</v>
      </c>
      <c r="J371" s="184">
        <f>J372</f>
        <v>195100</v>
      </c>
      <c r="K371" s="251"/>
      <c r="L371" s="184">
        <f t="shared" si="15"/>
        <v>195100</v>
      </c>
      <c r="M371" s="184">
        <f>M372</f>
        <v>195100</v>
      </c>
      <c r="N371" s="251"/>
      <c r="O371" s="184">
        <f t="shared" si="23"/>
        <v>195100</v>
      </c>
    </row>
    <row r="372" spans="1:15" ht="26.25" customHeight="1">
      <c r="A372" s="199" t="s">
        <v>695</v>
      </c>
      <c r="B372" s="182" t="s">
        <v>797</v>
      </c>
      <c r="C372" s="182" t="s">
        <v>378</v>
      </c>
      <c r="D372" s="182" t="s">
        <v>185</v>
      </c>
      <c r="E372" s="182" t="s">
        <v>212</v>
      </c>
      <c r="F372" s="183"/>
      <c r="G372" s="184">
        <f>G373</f>
        <v>195100</v>
      </c>
      <c r="H372" s="251"/>
      <c r="I372" s="184">
        <f t="shared" si="21"/>
        <v>195100</v>
      </c>
      <c r="J372" s="184">
        <f>J373</f>
        <v>195100</v>
      </c>
      <c r="K372" s="251"/>
      <c r="L372" s="184">
        <f t="shared" si="15"/>
        <v>195100</v>
      </c>
      <c r="M372" s="184">
        <f>M373</f>
        <v>195100</v>
      </c>
      <c r="N372" s="251"/>
      <c r="O372" s="184">
        <f t="shared" si="23"/>
        <v>195100</v>
      </c>
    </row>
    <row r="373" spans="1:15" ht="42" customHeight="1">
      <c r="A373" s="211" t="s">
        <v>696</v>
      </c>
      <c r="B373" s="182" t="s">
        <v>797</v>
      </c>
      <c r="C373" s="182" t="s">
        <v>378</v>
      </c>
      <c r="D373" s="182" t="s">
        <v>185</v>
      </c>
      <c r="E373" s="182" t="s">
        <v>288</v>
      </c>
      <c r="F373" s="183"/>
      <c r="G373" s="184">
        <f>G375</f>
        <v>195100</v>
      </c>
      <c r="H373" s="251"/>
      <c r="I373" s="184">
        <f t="shared" si="21"/>
        <v>195100</v>
      </c>
      <c r="J373" s="184">
        <f>J375</f>
        <v>195100</v>
      </c>
      <c r="K373" s="251"/>
      <c r="L373" s="184">
        <f t="shared" si="15"/>
        <v>195100</v>
      </c>
      <c r="M373" s="184">
        <f>M375</f>
        <v>195100</v>
      </c>
      <c r="N373" s="251"/>
      <c r="O373" s="184">
        <f t="shared" si="23"/>
        <v>195100</v>
      </c>
    </row>
    <row r="374" spans="1:15" ht="30.75" customHeight="1">
      <c r="A374" s="192" t="s">
        <v>697</v>
      </c>
      <c r="B374" s="182" t="s">
        <v>797</v>
      </c>
      <c r="C374" s="182" t="s">
        <v>378</v>
      </c>
      <c r="D374" s="182" t="s">
        <v>185</v>
      </c>
      <c r="E374" s="182" t="s">
        <v>698</v>
      </c>
      <c r="F374" s="183"/>
      <c r="G374" s="184">
        <f>G375</f>
        <v>195100</v>
      </c>
      <c r="H374" s="251"/>
      <c r="I374" s="184">
        <f t="shared" si="21"/>
        <v>195100</v>
      </c>
      <c r="J374" s="184">
        <f>J375</f>
        <v>195100</v>
      </c>
      <c r="K374" s="251"/>
      <c r="L374" s="184">
        <f t="shared" si="15"/>
        <v>195100</v>
      </c>
      <c r="M374" s="184">
        <f>M375</f>
        <v>195100</v>
      </c>
      <c r="N374" s="251"/>
      <c r="O374" s="184">
        <f t="shared" si="23"/>
        <v>195100</v>
      </c>
    </row>
    <row r="375" spans="1:15" ht="18.75" customHeight="1">
      <c r="A375" s="211" t="s">
        <v>699</v>
      </c>
      <c r="B375" s="182" t="s">
        <v>797</v>
      </c>
      <c r="C375" s="182" t="s">
        <v>700</v>
      </c>
      <c r="D375" s="182" t="s">
        <v>185</v>
      </c>
      <c r="E375" s="182" t="s">
        <v>701</v>
      </c>
      <c r="F375" s="183"/>
      <c r="G375" s="184">
        <f>G376</f>
        <v>195100</v>
      </c>
      <c r="H375" s="251"/>
      <c r="I375" s="184">
        <f t="shared" si="21"/>
        <v>195100</v>
      </c>
      <c r="J375" s="184">
        <f>J376</f>
        <v>195100</v>
      </c>
      <c r="K375" s="251"/>
      <c r="L375" s="184">
        <f t="shared" si="15"/>
        <v>195100</v>
      </c>
      <c r="M375" s="184">
        <f>M376</f>
        <v>195100</v>
      </c>
      <c r="N375" s="251"/>
      <c r="O375" s="184">
        <f t="shared" si="23"/>
        <v>195100</v>
      </c>
    </row>
    <row r="376" spans="1:15" ht="15">
      <c r="A376" s="205" t="s">
        <v>244</v>
      </c>
      <c r="B376" s="182" t="s">
        <v>797</v>
      </c>
      <c r="C376" s="182" t="s">
        <v>700</v>
      </c>
      <c r="D376" s="182" t="s">
        <v>185</v>
      </c>
      <c r="E376" s="182" t="s">
        <v>701</v>
      </c>
      <c r="F376" s="183" t="s">
        <v>245</v>
      </c>
      <c r="G376" s="184">
        <f>180500+14600</f>
        <v>195100</v>
      </c>
      <c r="H376" s="251"/>
      <c r="I376" s="184">
        <f t="shared" si="21"/>
        <v>195100</v>
      </c>
      <c r="J376" s="184">
        <f>180500+14600</f>
        <v>195100</v>
      </c>
      <c r="K376" s="251"/>
      <c r="L376" s="184">
        <f t="shared" si="15"/>
        <v>195100</v>
      </c>
      <c r="M376" s="184">
        <f>180500+14600</f>
        <v>195100</v>
      </c>
      <c r="N376" s="251"/>
      <c r="O376" s="184">
        <f t="shared" si="23"/>
        <v>195100</v>
      </c>
    </row>
    <row r="377" spans="1:15" ht="17.25" customHeight="1">
      <c r="A377" s="199" t="s">
        <v>702</v>
      </c>
      <c r="B377" s="182" t="s">
        <v>797</v>
      </c>
      <c r="C377" s="182">
        <v>10</v>
      </c>
      <c r="D377" s="182" t="s">
        <v>197</v>
      </c>
      <c r="E377" s="182"/>
      <c r="F377" s="183"/>
      <c r="G377" s="184">
        <f>G378</f>
        <v>9272890</v>
      </c>
      <c r="H377" s="251"/>
      <c r="I377" s="184">
        <f t="shared" si="21"/>
        <v>9272890</v>
      </c>
      <c r="J377" s="184">
        <f>J378</f>
        <v>9272890</v>
      </c>
      <c r="K377" s="251"/>
      <c r="L377" s="184">
        <f t="shared" si="15"/>
        <v>9272890</v>
      </c>
      <c r="M377" s="184">
        <f>M378</f>
        <v>9272890</v>
      </c>
      <c r="N377" s="251"/>
      <c r="O377" s="184">
        <f t="shared" si="23"/>
        <v>9272890</v>
      </c>
    </row>
    <row r="378" spans="1:15" ht="29.25" customHeight="1">
      <c r="A378" s="199" t="s">
        <v>695</v>
      </c>
      <c r="B378" s="182" t="s">
        <v>797</v>
      </c>
      <c r="C378" s="182">
        <v>10</v>
      </c>
      <c r="D378" s="182" t="s">
        <v>197</v>
      </c>
      <c r="E378" s="182" t="s">
        <v>212</v>
      </c>
      <c r="F378" s="183"/>
      <c r="G378" s="184">
        <f>G379</f>
        <v>9272890</v>
      </c>
      <c r="H378" s="251"/>
      <c r="I378" s="184">
        <f t="shared" si="21"/>
        <v>9272890</v>
      </c>
      <c r="J378" s="184">
        <f>J379</f>
        <v>9272890</v>
      </c>
      <c r="K378" s="251"/>
      <c r="L378" s="184">
        <f t="shared" si="15"/>
        <v>9272890</v>
      </c>
      <c r="M378" s="184">
        <f>M379</f>
        <v>9272890</v>
      </c>
      <c r="N378" s="251"/>
      <c r="O378" s="184">
        <f t="shared" si="23"/>
        <v>9272890</v>
      </c>
    </row>
    <row r="379" spans="1:15" ht="45" customHeight="1">
      <c r="A379" s="191" t="s">
        <v>703</v>
      </c>
      <c r="B379" s="182" t="s">
        <v>797</v>
      </c>
      <c r="C379" s="182">
        <v>10</v>
      </c>
      <c r="D379" s="182" t="s">
        <v>197</v>
      </c>
      <c r="E379" s="182" t="s">
        <v>288</v>
      </c>
      <c r="F379" s="183"/>
      <c r="G379" s="184">
        <f>G380</f>
        <v>9272890</v>
      </c>
      <c r="H379" s="251"/>
      <c r="I379" s="184">
        <f t="shared" si="21"/>
        <v>9272890</v>
      </c>
      <c r="J379" s="184">
        <f>J380</f>
        <v>9272890</v>
      </c>
      <c r="K379" s="251"/>
      <c r="L379" s="184">
        <f t="shared" si="15"/>
        <v>9272890</v>
      </c>
      <c r="M379" s="184">
        <f>M380</f>
        <v>9272890</v>
      </c>
      <c r="N379" s="251"/>
      <c r="O379" s="184">
        <f t="shared" si="23"/>
        <v>9272890</v>
      </c>
    </row>
    <row r="380" spans="1:15" ht="32.25" customHeight="1">
      <c r="A380" s="191" t="s">
        <v>704</v>
      </c>
      <c r="B380" s="182" t="s">
        <v>797</v>
      </c>
      <c r="C380" s="182">
        <v>10</v>
      </c>
      <c r="D380" s="182" t="s">
        <v>197</v>
      </c>
      <c r="E380" s="182" t="s">
        <v>705</v>
      </c>
      <c r="F380" s="183"/>
      <c r="G380" s="184">
        <f>G381+G384+G387</f>
        <v>9272890</v>
      </c>
      <c r="H380" s="251"/>
      <c r="I380" s="184">
        <f t="shared" si="21"/>
        <v>9272890</v>
      </c>
      <c r="J380" s="184">
        <f>J381+J384+J387</f>
        <v>9272890</v>
      </c>
      <c r="K380" s="251"/>
      <c r="L380" s="184">
        <f t="shared" si="15"/>
        <v>9272890</v>
      </c>
      <c r="M380" s="184">
        <f>M381+M384+M387</f>
        <v>9272890</v>
      </c>
      <c r="N380" s="251"/>
      <c r="O380" s="184">
        <f t="shared" si="23"/>
        <v>9272890</v>
      </c>
    </row>
    <row r="381" spans="1:15" ht="25.5">
      <c r="A381" s="191" t="s">
        <v>706</v>
      </c>
      <c r="B381" s="182" t="s">
        <v>797</v>
      </c>
      <c r="C381" s="182">
        <v>10</v>
      </c>
      <c r="D381" s="182" t="s">
        <v>197</v>
      </c>
      <c r="E381" s="182" t="s">
        <v>707</v>
      </c>
      <c r="F381" s="183"/>
      <c r="G381" s="184">
        <f>G383+G382</f>
        <v>39216</v>
      </c>
      <c r="H381" s="251"/>
      <c r="I381" s="184">
        <f t="shared" si="21"/>
        <v>39216</v>
      </c>
      <c r="J381" s="184">
        <f>J383+J382</f>
        <v>39216</v>
      </c>
      <c r="K381" s="251"/>
      <c r="L381" s="184">
        <f t="shared" si="15"/>
        <v>39216</v>
      </c>
      <c r="M381" s="184">
        <f>M383+M382</f>
        <v>39216</v>
      </c>
      <c r="N381" s="251"/>
      <c r="O381" s="184">
        <f t="shared" si="23"/>
        <v>39216</v>
      </c>
    </row>
    <row r="382" spans="1:15" ht="20.25" customHeight="1">
      <c r="A382" s="192" t="s">
        <v>206</v>
      </c>
      <c r="B382" s="182" t="s">
        <v>797</v>
      </c>
      <c r="C382" s="182">
        <v>10</v>
      </c>
      <c r="D382" s="182" t="s">
        <v>197</v>
      </c>
      <c r="E382" s="182" t="s">
        <v>707</v>
      </c>
      <c r="F382" s="183" t="s">
        <v>207</v>
      </c>
      <c r="G382" s="184">
        <v>300</v>
      </c>
      <c r="H382" s="251"/>
      <c r="I382" s="184">
        <f t="shared" si="21"/>
        <v>300</v>
      </c>
      <c r="J382" s="184">
        <v>300</v>
      </c>
      <c r="K382" s="251"/>
      <c r="L382" s="184">
        <f t="shared" si="15"/>
        <v>300</v>
      </c>
      <c r="M382" s="184">
        <v>300</v>
      </c>
      <c r="N382" s="251"/>
      <c r="O382" s="184">
        <f t="shared" si="23"/>
        <v>300</v>
      </c>
    </row>
    <row r="383" spans="1:15" ht="17.25" customHeight="1">
      <c r="A383" s="223" t="s">
        <v>244</v>
      </c>
      <c r="B383" s="182" t="s">
        <v>797</v>
      </c>
      <c r="C383" s="182">
        <v>10</v>
      </c>
      <c r="D383" s="182" t="s">
        <v>197</v>
      </c>
      <c r="E383" s="182" t="s">
        <v>707</v>
      </c>
      <c r="F383" s="183" t="s">
        <v>245</v>
      </c>
      <c r="G383" s="184">
        <v>38916</v>
      </c>
      <c r="H383" s="251"/>
      <c r="I383" s="184">
        <f t="shared" si="21"/>
        <v>38916</v>
      </c>
      <c r="J383" s="184">
        <v>38916</v>
      </c>
      <c r="K383" s="251"/>
      <c r="L383" s="184">
        <f t="shared" si="15"/>
        <v>38916</v>
      </c>
      <c r="M383" s="184">
        <v>38916</v>
      </c>
      <c r="N383" s="251"/>
      <c r="O383" s="184">
        <f t="shared" si="23"/>
        <v>38916</v>
      </c>
    </row>
    <row r="384" spans="1:15" ht="29.25" customHeight="1">
      <c r="A384" s="191" t="s">
        <v>708</v>
      </c>
      <c r="B384" s="182" t="s">
        <v>797</v>
      </c>
      <c r="C384" s="182">
        <v>10</v>
      </c>
      <c r="D384" s="182" t="s">
        <v>197</v>
      </c>
      <c r="E384" s="182" t="s">
        <v>709</v>
      </c>
      <c r="F384" s="183"/>
      <c r="G384" s="184">
        <f>G386+G385</f>
        <v>217901</v>
      </c>
      <c r="H384" s="251"/>
      <c r="I384" s="184">
        <f t="shared" si="21"/>
        <v>217901</v>
      </c>
      <c r="J384" s="184">
        <f>J386+J385</f>
        <v>217901</v>
      </c>
      <c r="K384" s="251"/>
      <c r="L384" s="184">
        <f t="shared" si="15"/>
        <v>217901</v>
      </c>
      <c r="M384" s="184">
        <f>M386+M385</f>
        <v>217901</v>
      </c>
      <c r="N384" s="251"/>
      <c r="O384" s="184">
        <f t="shared" si="23"/>
        <v>217901</v>
      </c>
    </row>
    <row r="385" spans="1:15" ht="18.75" customHeight="1">
      <c r="A385" s="192" t="s">
        <v>206</v>
      </c>
      <c r="B385" s="182" t="s">
        <v>797</v>
      </c>
      <c r="C385" s="182">
        <v>10</v>
      </c>
      <c r="D385" s="182" t="s">
        <v>197</v>
      </c>
      <c r="E385" s="182" t="s">
        <v>709</v>
      </c>
      <c r="F385" s="183" t="s">
        <v>207</v>
      </c>
      <c r="G385" s="184">
        <v>2800</v>
      </c>
      <c r="H385" s="251"/>
      <c r="I385" s="184">
        <f t="shared" si="21"/>
        <v>2800</v>
      </c>
      <c r="J385" s="184">
        <v>2800</v>
      </c>
      <c r="K385" s="251"/>
      <c r="L385" s="184">
        <f t="shared" si="15"/>
        <v>2800</v>
      </c>
      <c r="M385" s="184">
        <v>2800</v>
      </c>
      <c r="N385" s="251"/>
      <c r="O385" s="184">
        <f t="shared" si="23"/>
        <v>2800</v>
      </c>
    </row>
    <row r="386" spans="1:15" ht="18" customHeight="1">
      <c r="A386" s="223" t="s">
        <v>244</v>
      </c>
      <c r="B386" s="182" t="s">
        <v>797</v>
      </c>
      <c r="C386" s="182">
        <v>10</v>
      </c>
      <c r="D386" s="182" t="s">
        <v>197</v>
      </c>
      <c r="E386" s="182" t="s">
        <v>709</v>
      </c>
      <c r="F386" s="183" t="s">
        <v>245</v>
      </c>
      <c r="G386" s="184">
        <v>215101</v>
      </c>
      <c r="H386" s="251"/>
      <c r="I386" s="184">
        <f t="shared" si="21"/>
        <v>215101</v>
      </c>
      <c r="J386" s="184">
        <v>215101</v>
      </c>
      <c r="K386" s="251"/>
      <c r="L386" s="184">
        <f t="shared" si="15"/>
        <v>215101</v>
      </c>
      <c r="M386" s="184">
        <v>215101</v>
      </c>
      <c r="N386" s="251"/>
      <c r="O386" s="184">
        <f t="shared" si="23"/>
        <v>215101</v>
      </c>
    </row>
    <row r="387" spans="1:15" ht="20.25" customHeight="1">
      <c r="A387" s="199" t="s">
        <v>710</v>
      </c>
      <c r="B387" s="182" t="s">
        <v>797</v>
      </c>
      <c r="C387" s="182">
        <v>10</v>
      </c>
      <c r="D387" s="182" t="s">
        <v>197</v>
      </c>
      <c r="E387" s="182" t="s">
        <v>711</v>
      </c>
      <c r="F387" s="183"/>
      <c r="G387" s="184">
        <f>G389+G388</f>
        <v>9015773</v>
      </c>
      <c r="H387" s="251"/>
      <c r="I387" s="184">
        <f t="shared" si="21"/>
        <v>9015773</v>
      </c>
      <c r="J387" s="184">
        <f>J389+J388</f>
        <v>9015773</v>
      </c>
      <c r="K387" s="251"/>
      <c r="L387" s="184">
        <f aca="true" t="shared" si="24" ref="L387:L435">J387+K387</f>
        <v>9015773</v>
      </c>
      <c r="M387" s="184">
        <f>M389+M388</f>
        <v>9015773</v>
      </c>
      <c r="N387" s="251"/>
      <c r="O387" s="184">
        <f t="shared" si="23"/>
        <v>9015773</v>
      </c>
    </row>
    <row r="388" spans="1:15" ht="27.75" customHeight="1">
      <c r="A388" s="192" t="s">
        <v>206</v>
      </c>
      <c r="B388" s="182" t="s">
        <v>797</v>
      </c>
      <c r="C388" s="182">
        <v>10</v>
      </c>
      <c r="D388" s="182" t="s">
        <v>197</v>
      </c>
      <c r="E388" s="182" t="s">
        <v>711</v>
      </c>
      <c r="F388" s="183" t="s">
        <v>207</v>
      </c>
      <c r="G388" s="184">
        <f>96000+7200</f>
        <v>103200</v>
      </c>
      <c r="H388" s="251"/>
      <c r="I388" s="184">
        <f t="shared" si="21"/>
        <v>103200</v>
      </c>
      <c r="J388" s="184">
        <v>103200</v>
      </c>
      <c r="K388" s="251"/>
      <c r="L388" s="184">
        <f t="shared" si="24"/>
        <v>103200</v>
      </c>
      <c r="M388" s="184">
        <v>103200</v>
      </c>
      <c r="N388" s="251"/>
      <c r="O388" s="184">
        <f t="shared" si="23"/>
        <v>103200</v>
      </c>
    </row>
    <row r="389" spans="1:15" ht="20.25" customHeight="1">
      <c r="A389" s="223" t="s">
        <v>244</v>
      </c>
      <c r="B389" s="182" t="s">
        <v>797</v>
      </c>
      <c r="C389" s="182">
        <v>10</v>
      </c>
      <c r="D389" s="182" t="s">
        <v>197</v>
      </c>
      <c r="E389" s="182" t="s">
        <v>711</v>
      </c>
      <c r="F389" s="183" t="s">
        <v>245</v>
      </c>
      <c r="G389" s="184">
        <f>8462573+450000</f>
        <v>8912573</v>
      </c>
      <c r="H389" s="251"/>
      <c r="I389" s="184">
        <f t="shared" si="21"/>
        <v>8912573</v>
      </c>
      <c r="J389" s="184">
        <v>8912573</v>
      </c>
      <c r="K389" s="251"/>
      <c r="L389" s="184">
        <f t="shared" si="24"/>
        <v>8912573</v>
      </c>
      <c r="M389" s="184">
        <v>8912573</v>
      </c>
      <c r="N389" s="251"/>
      <c r="O389" s="184">
        <f t="shared" si="23"/>
        <v>8912573</v>
      </c>
    </row>
    <row r="390" spans="1:15" ht="14.25" customHeight="1">
      <c r="A390" s="199" t="s">
        <v>712</v>
      </c>
      <c r="B390" s="182" t="s">
        <v>797</v>
      </c>
      <c r="C390" s="182">
        <v>10</v>
      </c>
      <c r="D390" s="182" t="s">
        <v>210</v>
      </c>
      <c r="E390" s="182"/>
      <c r="F390" s="183"/>
      <c r="G390" s="184">
        <f>G391+G400</f>
        <v>22751255</v>
      </c>
      <c r="H390" s="184">
        <f>H391</f>
        <v>0</v>
      </c>
      <c r="I390" s="184">
        <f t="shared" si="21"/>
        <v>22751255</v>
      </c>
      <c r="J390" s="184">
        <f>J391+J400</f>
        <v>14282568</v>
      </c>
      <c r="K390" s="184">
        <f>K391</f>
        <v>0</v>
      </c>
      <c r="L390" s="184">
        <f t="shared" si="24"/>
        <v>14282568</v>
      </c>
      <c r="M390" s="184">
        <f>M391+M400</f>
        <v>28940003</v>
      </c>
      <c r="N390" s="184">
        <f>N391</f>
        <v>0</v>
      </c>
      <c r="O390" s="184">
        <f t="shared" si="23"/>
        <v>28940003</v>
      </c>
    </row>
    <row r="391" spans="1:15" ht="30.75" customHeight="1">
      <c r="A391" s="199" t="s">
        <v>286</v>
      </c>
      <c r="B391" s="182" t="s">
        <v>797</v>
      </c>
      <c r="C391" s="182">
        <v>10</v>
      </c>
      <c r="D391" s="182" t="s">
        <v>210</v>
      </c>
      <c r="E391" s="229" t="s">
        <v>212</v>
      </c>
      <c r="F391" s="183"/>
      <c r="G391" s="184">
        <f>G392</f>
        <v>22751255</v>
      </c>
      <c r="H391" s="184">
        <f aca="true" t="shared" si="25" ref="H391:N391">H392</f>
        <v>0</v>
      </c>
      <c r="I391" s="184">
        <f t="shared" si="21"/>
        <v>22751255</v>
      </c>
      <c r="J391" s="184">
        <f t="shared" si="25"/>
        <v>14054527</v>
      </c>
      <c r="K391" s="184">
        <f t="shared" si="25"/>
        <v>0</v>
      </c>
      <c r="L391" s="184">
        <f t="shared" si="24"/>
        <v>14054527</v>
      </c>
      <c r="M391" s="184">
        <f t="shared" si="25"/>
        <v>28549075</v>
      </c>
      <c r="N391" s="184">
        <f t="shared" si="25"/>
        <v>0</v>
      </c>
      <c r="O391" s="184">
        <f t="shared" si="23"/>
        <v>28549075</v>
      </c>
    </row>
    <row r="392" spans="1:15" ht="51">
      <c r="A392" s="230" t="s">
        <v>713</v>
      </c>
      <c r="B392" s="182" t="s">
        <v>797</v>
      </c>
      <c r="C392" s="182" t="s">
        <v>378</v>
      </c>
      <c r="D392" s="182" t="s">
        <v>210</v>
      </c>
      <c r="E392" s="182" t="s">
        <v>214</v>
      </c>
      <c r="F392" s="183"/>
      <c r="G392" s="184">
        <f>G396+G393</f>
        <v>22751255</v>
      </c>
      <c r="H392" s="251"/>
      <c r="I392" s="184">
        <f t="shared" si="21"/>
        <v>22751255</v>
      </c>
      <c r="J392" s="184">
        <f>J396+J393</f>
        <v>14054527</v>
      </c>
      <c r="K392" s="251"/>
      <c r="L392" s="184">
        <f t="shared" si="24"/>
        <v>14054527</v>
      </c>
      <c r="M392" s="184">
        <f>M396+M393</f>
        <v>28549075</v>
      </c>
      <c r="N392" s="251"/>
      <c r="O392" s="184">
        <f t="shared" si="23"/>
        <v>28549075</v>
      </c>
    </row>
    <row r="393" spans="1:15" ht="38.25">
      <c r="A393" s="199" t="s">
        <v>714</v>
      </c>
      <c r="B393" s="182" t="s">
        <v>797</v>
      </c>
      <c r="C393" s="182" t="s">
        <v>378</v>
      </c>
      <c r="D393" s="182" t="s">
        <v>210</v>
      </c>
      <c r="E393" s="190" t="s">
        <v>715</v>
      </c>
      <c r="F393" s="183"/>
      <c r="G393" s="184">
        <f>G394</f>
        <v>11155617</v>
      </c>
      <c r="H393" s="251"/>
      <c r="I393" s="184">
        <f t="shared" si="21"/>
        <v>11155617</v>
      </c>
      <c r="J393" s="184">
        <f>J394</f>
        <v>11155617</v>
      </c>
      <c r="K393" s="251"/>
      <c r="L393" s="184">
        <f t="shared" si="24"/>
        <v>11155617</v>
      </c>
      <c r="M393" s="184">
        <f>M394</f>
        <v>11155617</v>
      </c>
      <c r="N393" s="251"/>
      <c r="O393" s="184">
        <f t="shared" si="23"/>
        <v>11155617</v>
      </c>
    </row>
    <row r="394" spans="1:15" ht="25.5">
      <c r="A394" s="191" t="s">
        <v>716</v>
      </c>
      <c r="B394" s="182" t="s">
        <v>797</v>
      </c>
      <c r="C394" s="182" t="s">
        <v>378</v>
      </c>
      <c r="D394" s="182" t="s">
        <v>210</v>
      </c>
      <c r="E394" s="190" t="s">
        <v>717</v>
      </c>
      <c r="F394" s="183"/>
      <c r="G394" s="184">
        <f>G395</f>
        <v>11155617</v>
      </c>
      <c r="H394" s="251"/>
      <c r="I394" s="184">
        <f t="shared" si="21"/>
        <v>11155617</v>
      </c>
      <c r="J394" s="184">
        <f>J395</f>
        <v>11155617</v>
      </c>
      <c r="K394" s="251"/>
      <c r="L394" s="184">
        <f t="shared" si="24"/>
        <v>11155617</v>
      </c>
      <c r="M394" s="184">
        <f>M395</f>
        <v>11155617</v>
      </c>
      <c r="N394" s="251"/>
      <c r="O394" s="184">
        <f t="shared" si="23"/>
        <v>11155617</v>
      </c>
    </row>
    <row r="395" spans="1:15" ht="15">
      <c r="A395" s="223" t="s">
        <v>244</v>
      </c>
      <c r="B395" s="182" t="s">
        <v>797</v>
      </c>
      <c r="C395" s="182" t="s">
        <v>378</v>
      </c>
      <c r="D395" s="182" t="s">
        <v>210</v>
      </c>
      <c r="E395" s="190" t="s">
        <v>717</v>
      </c>
      <c r="F395" s="183" t="s">
        <v>245</v>
      </c>
      <c r="G395" s="184">
        <f>1760240+9395377</f>
        <v>11155617</v>
      </c>
      <c r="H395" s="251"/>
      <c r="I395" s="184">
        <f aca="true" t="shared" si="26" ref="I395:I458">G395+H395</f>
        <v>11155617</v>
      </c>
      <c r="J395" s="184">
        <f>1760240+9395377</f>
        <v>11155617</v>
      </c>
      <c r="K395" s="251"/>
      <c r="L395" s="184">
        <f t="shared" si="24"/>
        <v>11155617</v>
      </c>
      <c r="M395" s="184">
        <f>1760240+9395377</f>
        <v>11155617</v>
      </c>
      <c r="N395" s="251"/>
      <c r="O395" s="184">
        <f t="shared" si="23"/>
        <v>11155617</v>
      </c>
    </row>
    <row r="396" spans="1:15" ht="25.5">
      <c r="A396" s="195" t="s">
        <v>215</v>
      </c>
      <c r="B396" s="182" t="s">
        <v>797</v>
      </c>
      <c r="C396" s="182" t="s">
        <v>378</v>
      </c>
      <c r="D396" s="182" t="s">
        <v>210</v>
      </c>
      <c r="E396" s="190" t="s">
        <v>216</v>
      </c>
      <c r="F396" s="183"/>
      <c r="G396" s="184">
        <f>G397</f>
        <v>11595638</v>
      </c>
      <c r="H396" s="251"/>
      <c r="I396" s="184">
        <f t="shared" si="26"/>
        <v>11595638</v>
      </c>
      <c r="J396" s="184">
        <f>J397</f>
        <v>2898910</v>
      </c>
      <c r="K396" s="251"/>
      <c r="L396" s="184">
        <f t="shared" si="24"/>
        <v>2898910</v>
      </c>
      <c r="M396" s="184">
        <f>M397</f>
        <v>17393458</v>
      </c>
      <c r="N396" s="251"/>
      <c r="O396" s="184">
        <f t="shared" si="23"/>
        <v>17393458</v>
      </c>
    </row>
    <row r="397" spans="1:15" ht="51">
      <c r="A397" s="196" t="s">
        <v>798</v>
      </c>
      <c r="B397" s="182" t="s">
        <v>797</v>
      </c>
      <c r="C397" s="182">
        <v>10</v>
      </c>
      <c r="D397" s="182" t="s">
        <v>210</v>
      </c>
      <c r="E397" s="182" t="s">
        <v>218</v>
      </c>
      <c r="F397" s="183"/>
      <c r="G397" s="184">
        <f>G399+G398</f>
        <v>11595638</v>
      </c>
      <c r="H397" s="251"/>
      <c r="I397" s="184">
        <f t="shared" si="26"/>
        <v>11595638</v>
      </c>
      <c r="J397" s="184">
        <f>J399+J398</f>
        <v>2898910</v>
      </c>
      <c r="K397" s="251"/>
      <c r="L397" s="184">
        <f t="shared" si="24"/>
        <v>2898910</v>
      </c>
      <c r="M397" s="184">
        <f>M399+M398</f>
        <v>17393458</v>
      </c>
      <c r="N397" s="251"/>
      <c r="O397" s="184">
        <f t="shared" si="23"/>
        <v>17393458</v>
      </c>
    </row>
    <row r="398" spans="1:15" ht="25.5">
      <c r="A398" s="192" t="s">
        <v>206</v>
      </c>
      <c r="B398" s="182" t="s">
        <v>797</v>
      </c>
      <c r="C398" s="182">
        <v>10</v>
      </c>
      <c r="D398" s="182" t="s">
        <v>210</v>
      </c>
      <c r="E398" s="182" t="s">
        <v>218</v>
      </c>
      <c r="F398" s="183" t="s">
        <v>207</v>
      </c>
      <c r="G398" s="184">
        <v>24000</v>
      </c>
      <c r="H398" s="251"/>
      <c r="I398" s="184">
        <f t="shared" si="26"/>
        <v>24000</v>
      </c>
      <c r="J398" s="184">
        <v>6000</v>
      </c>
      <c r="K398" s="251"/>
      <c r="L398" s="184">
        <f t="shared" si="24"/>
        <v>6000</v>
      </c>
      <c r="M398" s="184">
        <v>36000</v>
      </c>
      <c r="N398" s="251"/>
      <c r="O398" s="184">
        <f t="shared" si="23"/>
        <v>36000</v>
      </c>
    </row>
    <row r="399" spans="1:15" ht="20.25" customHeight="1">
      <c r="A399" s="199" t="s">
        <v>429</v>
      </c>
      <c r="B399" s="182" t="s">
        <v>797</v>
      </c>
      <c r="C399" s="182">
        <v>10</v>
      </c>
      <c r="D399" s="182" t="s">
        <v>210</v>
      </c>
      <c r="E399" s="182" t="s">
        <v>218</v>
      </c>
      <c r="F399" s="183" t="s">
        <v>430</v>
      </c>
      <c r="G399" s="184">
        <v>11571638</v>
      </c>
      <c r="H399" s="251"/>
      <c r="I399" s="184">
        <f t="shared" si="26"/>
        <v>11571638</v>
      </c>
      <c r="J399" s="184">
        <v>2892910</v>
      </c>
      <c r="K399" s="251"/>
      <c r="L399" s="184">
        <f t="shared" si="24"/>
        <v>2892910</v>
      </c>
      <c r="M399" s="184">
        <v>17357458</v>
      </c>
      <c r="N399" s="251"/>
      <c r="O399" s="184">
        <f t="shared" si="23"/>
        <v>17357458</v>
      </c>
    </row>
    <row r="400" spans="1:15" ht="45.75" customHeight="1">
      <c r="A400" s="209" t="s">
        <v>455</v>
      </c>
      <c r="B400" s="182" t="s">
        <v>797</v>
      </c>
      <c r="C400" s="182" t="s">
        <v>378</v>
      </c>
      <c r="D400" s="182" t="s">
        <v>210</v>
      </c>
      <c r="E400" s="182" t="s">
        <v>456</v>
      </c>
      <c r="F400" s="183"/>
      <c r="G400" s="184">
        <f>G401</f>
        <v>0</v>
      </c>
      <c r="H400" s="251"/>
      <c r="I400" s="184">
        <f t="shared" si="26"/>
        <v>0</v>
      </c>
      <c r="J400" s="184">
        <f>J401</f>
        <v>228041</v>
      </c>
      <c r="K400" s="251"/>
      <c r="L400" s="184">
        <f t="shared" si="24"/>
        <v>228041</v>
      </c>
      <c r="M400" s="184">
        <f>M401</f>
        <v>390928</v>
      </c>
      <c r="N400" s="251"/>
      <c r="O400" s="184">
        <f t="shared" si="23"/>
        <v>390928</v>
      </c>
    </row>
    <row r="401" spans="1:15" ht="60" customHeight="1">
      <c r="A401" s="211" t="s">
        <v>457</v>
      </c>
      <c r="B401" s="182" t="s">
        <v>797</v>
      </c>
      <c r="C401" s="182" t="s">
        <v>378</v>
      </c>
      <c r="D401" s="182" t="s">
        <v>210</v>
      </c>
      <c r="E401" s="182" t="s">
        <v>458</v>
      </c>
      <c r="F401" s="183"/>
      <c r="G401" s="184">
        <f>G402</f>
        <v>0</v>
      </c>
      <c r="H401" s="251"/>
      <c r="I401" s="184">
        <f t="shared" si="26"/>
        <v>0</v>
      </c>
      <c r="J401" s="184">
        <f>J402</f>
        <v>228041</v>
      </c>
      <c r="K401" s="251"/>
      <c r="L401" s="184">
        <f t="shared" si="24"/>
        <v>228041</v>
      </c>
      <c r="M401" s="184">
        <f>M402</f>
        <v>390928</v>
      </c>
      <c r="N401" s="251"/>
      <c r="O401" s="184">
        <f t="shared" si="23"/>
        <v>390928</v>
      </c>
    </row>
    <row r="402" spans="1:15" ht="35.25" customHeight="1">
      <c r="A402" s="199" t="s">
        <v>721</v>
      </c>
      <c r="B402" s="182" t="s">
        <v>797</v>
      </c>
      <c r="C402" s="182" t="s">
        <v>378</v>
      </c>
      <c r="D402" s="182" t="s">
        <v>210</v>
      </c>
      <c r="E402" s="182" t="s">
        <v>722</v>
      </c>
      <c r="F402" s="183"/>
      <c r="G402" s="184">
        <f>G403</f>
        <v>0</v>
      </c>
      <c r="H402" s="251"/>
      <c r="I402" s="184">
        <f t="shared" si="26"/>
        <v>0</v>
      </c>
      <c r="J402" s="184">
        <f>J403</f>
        <v>228041</v>
      </c>
      <c r="K402" s="251"/>
      <c r="L402" s="184">
        <f t="shared" si="24"/>
        <v>228041</v>
      </c>
      <c r="M402" s="184">
        <f>M403</f>
        <v>390928</v>
      </c>
      <c r="N402" s="251"/>
      <c r="O402" s="184">
        <f t="shared" si="23"/>
        <v>390928</v>
      </c>
    </row>
    <row r="403" spans="1:15" ht="20.25" customHeight="1">
      <c r="A403" s="199" t="s">
        <v>723</v>
      </c>
      <c r="B403" s="182" t="s">
        <v>797</v>
      </c>
      <c r="C403" s="182" t="s">
        <v>378</v>
      </c>
      <c r="D403" s="182" t="s">
        <v>210</v>
      </c>
      <c r="E403" s="182" t="s">
        <v>724</v>
      </c>
      <c r="F403" s="183"/>
      <c r="G403" s="184">
        <f>G404</f>
        <v>0</v>
      </c>
      <c r="H403" s="251"/>
      <c r="I403" s="184">
        <f t="shared" si="26"/>
        <v>0</v>
      </c>
      <c r="J403" s="184">
        <f>J404</f>
        <v>228041</v>
      </c>
      <c r="K403" s="251"/>
      <c r="L403" s="184">
        <f t="shared" si="24"/>
        <v>228041</v>
      </c>
      <c r="M403" s="184">
        <f>M404</f>
        <v>390928</v>
      </c>
      <c r="N403" s="251"/>
      <c r="O403" s="184">
        <f t="shared" si="23"/>
        <v>390928</v>
      </c>
    </row>
    <row r="404" spans="1:15" ht="20.25" customHeight="1">
      <c r="A404" s="223" t="s">
        <v>244</v>
      </c>
      <c r="B404" s="182" t="s">
        <v>797</v>
      </c>
      <c r="C404" s="182" t="s">
        <v>378</v>
      </c>
      <c r="D404" s="182" t="s">
        <v>210</v>
      </c>
      <c r="E404" s="182" t="s">
        <v>724</v>
      </c>
      <c r="F404" s="183" t="s">
        <v>245</v>
      </c>
      <c r="G404" s="184"/>
      <c r="H404" s="251"/>
      <c r="I404" s="184">
        <f t="shared" si="26"/>
        <v>0</v>
      </c>
      <c r="J404" s="184">
        <v>228041</v>
      </c>
      <c r="K404" s="251"/>
      <c r="L404" s="184">
        <f t="shared" si="24"/>
        <v>228041</v>
      </c>
      <c r="M404" s="184">
        <v>390928</v>
      </c>
      <c r="N404" s="251"/>
      <c r="O404" s="184">
        <f t="shared" si="23"/>
        <v>390928</v>
      </c>
    </row>
    <row r="405" spans="1:15" ht="20.25" customHeight="1">
      <c r="A405" s="223" t="s">
        <v>725</v>
      </c>
      <c r="B405" s="182" t="s">
        <v>797</v>
      </c>
      <c r="C405" s="182" t="s">
        <v>378</v>
      </c>
      <c r="D405" s="182" t="s">
        <v>262</v>
      </c>
      <c r="E405" s="182"/>
      <c r="F405" s="183"/>
      <c r="G405" s="184">
        <f>G406+G411</f>
        <v>3481000</v>
      </c>
      <c r="H405" s="251"/>
      <c r="I405" s="184">
        <f t="shared" si="26"/>
        <v>3481000</v>
      </c>
      <c r="J405" s="184">
        <f>J406+J411</f>
        <v>3481000</v>
      </c>
      <c r="K405" s="251"/>
      <c r="L405" s="184">
        <f t="shared" si="24"/>
        <v>3481000</v>
      </c>
      <c r="M405" s="184">
        <f>M406+M411</f>
        <v>3481000</v>
      </c>
      <c r="N405" s="251"/>
      <c r="O405" s="184">
        <f t="shared" si="23"/>
        <v>3481000</v>
      </c>
    </row>
    <row r="406" spans="1:15" ht="57" customHeight="1">
      <c r="A406" s="192" t="s">
        <v>726</v>
      </c>
      <c r="B406" s="182" t="s">
        <v>797</v>
      </c>
      <c r="C406" s="231" t="s">
        <v>378</v>
      </c>
      <c r="D406" s="231" t="s">
        <v>262</v>
      </c>
      <c r="E406" s="232" t="s">
        <v>214</v>
      </c>
      <c r="F406" s="233"/>
      <c r="G406" s="234">
        <f>G407</f>
        <v>1044300</v>
      </c>
      <c r="H406" s="251"/>
      <c r="I406" s="184">
        <f t="shared" si="26"/>
        <v>1044300</v>
      </c>
      <c r="J406" s="234">
        <f>J407</f>
        <v>1044300</v>
      </c>
      <c r="K406" s="251"/>
      <c r="L406" s="184">
        <f t="shared" si="24"/>
        <v>1044300</v>
      </c>
      <c r="M406" s="234">
        <f>M407</f>
        <v>1044300</v>
      </c>
      <c r="N406" s="251"/>
      <c r="O406" s="184">
        <f t="shared" si="23"/>
        <v>1044300</v>
      </c>
    </row>
    <row r="407" spans="1:15" ht="46.5" customHeight="1">
      <c r="A407" s="195" t="s">
        <v>293</v>
      </c>
      <c r="B407" s="182" t="s">
        <v>797</v>
      </c>
      <c r="C407" s="182" t="s">
        <v>378</v>
      </c>
      <c r="D407" s="182" t="s">
        <v>262</v>
      </c>
      <c r="E407" s="190" t="s">
        <v>294</v>
      </c>
      <c r="F407" s="193"/>
      <c r="G407" s="184">
        <f>G408</f>
        <v>1044300</v>
      </c>
      <c r="H407" s="251"/>
      <c r="I407" s="184">
        <f t="shared" si="26"/>
        <v>1044300</v>
      </c>
      <c r="J407" s="184">
        <f>J408</f>
        <v>1044300</v>
      </c>
      <c r="K407" s="251"/>
      <c r="L407" s="184">
        <f t="shared" si="24"/>
        <v>1044300</v>
      </c>
      <c r="M407" s="184">
        <f>M408</f>
        <v>1044300</v>
      </c>
      <c r="N407" s="251"/>
      <c r="O407" s="184">
        <f aca="true" t="shared" si="27" ref="O407:O449">M407+N407</f>
        <v>1044300</v>
      </c>
    </row>
    <row r="408" spans="1:15" ht="39" customHeight="1">
      <c r="A408" s="196" t="s">
        <v>727</v>
      </c>
      <c r="B408" s="182" t="s">
        <v>797</v>
      </c>
      <c r="C408" s="182" t="s">
        <v>378</v>
      </c>
      <c r="D408" s="182" t="s">
        <v>262</v>
      </c>
      <c r="E408" s="190" t="s">
        <v>728</v>
      </c>
      <c r="F408" s="193"/>
      <c r="G408" s="184">
        <f>G409+G410</f>
        <v>1044300</v>
      </c>
      <c r="H408" s="251"/>
      <c r="I408" s="184">
        <f t="shared" si="26"/>
        <v>1044300</v>
      </c>
      <c r="J408" s="184">
        <f>J409+J410</f>
        <v>1044300</v>
      </c>
      <c r="K408" s="251"/>
      <c r="L408" s="184">
        <f t="shared" si="24"/>
        <v>1044300</v>
      </c>
      <c r="M408" s="184">
        <f>M409+M410</f>
        <v>1044300</v>
      </c>
      <c r="N408" s="251"/>
      <c r="O408" s="184">
        <f t="shared" si="27"/>
        <v>1044300</v>
      </c>
    </row>
    <row r="409" spans="1:15" ht="45" customHeight="1">
      <c r="A409" s="192" t="s">
        <v>194</v>
      </c>
      <c r="B409" s="182" t="s">
        <v>797</v>
      </c>
      <c r="C409" s="182" t="s">
        <v>378</v>
      </c>
      <c r="D409" s="182" t="s">
        <v>262</v>
      </c>
      <c r="E409" s="190" t="s">
        <v>728</v>
      </c>
      <c r="F409" s="193" t="s">
        <v>195</v>
      </c>
      <c r="G409" s="184">
        <v>1044300</v>
      </c>
      <c r="H409" s="251"/>
      <c r="I409" s="184">
        <f t="shared" si="26"/>
        <v>1044300</v>
      </c>
      <c r="J409" s="184">
        <v>1044300</v>
      </c>
      <c r="K409" s="251"/>
      <c r="L409" s="184">
        <f t="shared" si="24"/>
        <v>1044300</v>
      </c>
      <c r="M409" s="184">
        <v>1044300</v>
      </c>
      <c r="N409" s="251"/>
      <c r="O409" s="184">
        <f t="shared" si="27"/>
        <v>1044300</v>
      </c>
    </row>
    <row r="410" spans="1:15" ht="34.5" customHeight="1" hidden="1">
      <c r="A410" s="192" t="s">
        <v>206</v>
      </c>
      <c r="B410" s="182" t="s">
        <v>797</v>
      </c>
      <c r="C410" s="182" t="s">
        <v>378</v>
      </c>
      <c r="D410" s="182" t="s">
        <v>262</v>
      </c>
      <c r="E410" s="190" t="s">
        <v>728</v>
      </c>
      <c r="F410" s="193" t="s">
        <v>207</v>
      </c>
      <c r="G410" s="184"/>
      <c r="H410" s="251"/>
      <c r="I410" s="184">
        <f t="shared" si="26"/>
        <v>0</v>
      </c>
      <c r="J410" s="184"/>
      <c r="K410" s="251"/>
      <c r="L410" s="184">
        <f t="shared" si="24"/>
        <v>0</v>
      </c>
      <c r="M410" s="184"/>
      <c r="N410" s="251"/>
      <c r="O410" s="184">
        <f t="shared" si="27"/>
        <v>0</v>
      </c>
    </row>
    <row r="411" spans="1:15" ht="45.75" customHeight="1">
      <c r="A411" s="191" t="s">
        <v>729</v>
      </c>
      <c r="B411" s="182" t="s">
        <v>797</v>
      </c>
      <c r="C411" s="231" t="s">
        <v>378</v>
      </c>
      <c r="D411" s="231" t="s">
        <v>262</v>
      </c>
      <c r="E411" s="232" t="s">
        <v>730</v>
      </c>
      <c r="F411" s="225"/>
      <c r="G411" s="234">
        <f>G412</f>
        <v>2436700</v>
      </c>
      <c r="H411" s="251"/>
      <c r="I411" s="184">
        <f t="shared" si="26"/>
        <v>2436700</v>
      </c>
      <c r="J411" s="234">
        <f>J412</f>
        <v>2436700</v>
      </c>
      <c r="K411" s="251"/>
      <c r="L411" s="184">
        <f t="shared" si="24"/>
        <v>2436700</v>
      </c>
      <c r="M411" s="234">
        <f>M412</f>
        <v>2436700</v>
      </c>
      <c r="N411" s="251"/>
      <c r="O411" s="184">
        <f t="shared" si="27"/>
        <v>2436700</v>
      </c>
    </row>
    <row r="412" spans="1:15" ht="34.5" customHeight="1">
      <c r="A412" s="197" t="s">
        <v>731</v>
      </c>
      <c r="B412" s="182" t="s">
        <v>797</v>
      </c>
      <c r="C412" s="182" t="s">
        <v>378</v>
      </c>
      <c r="D412" s="182" t="s">
        <v>262</v>
      </c>
      <c r="E412" s="190" t="s">
        <v>732</v>
      </c>
      <c r="F412" s="183"/>
      <c r="G412" s="184">
        <f>G413</f>
        <v>2436700</v>
      </c>
      <c r="H412" s="251"/>
      <c r="I412" s="184">
        <f t="shared" si="26"/>
        <v>2436700</v>
      </c>
      <c r="J412" s="184">
        <f>J413</f>
        <v>2436700</v>
      </c>
      <c r="K412" s="251"/>
      <c r="L412" s="184">
        <f t="shared" si="24"/>
        <v>2436700</v>
      </c>
      <c r="M412" s="184">
        <f>M413</f>
        <v>2436700</v>
      </c>
      <c r="N412" s="251"/>
      <c r="O412" s="184">
        <f t="shared" si="27"/>
        <v>2436700</v>
      </c>
    </row>
    <row r="413" spans="1:15" ht="30.75" customHeight="1">
      <c r="A413" s="191" t="s">
        <v>733</v>
      </c>
      <c r="B413" s="182" t="s">
        <v>797</v>
      </c>
      <c r="C413" s="182" t="s">
        <v>378</v>
      </c>
      <c r="D413" s="182" t="s">
        <v>262</v>
      </c>
      <c r="E413" s="190" t="s">
        <v>734</v>
      </c>
      <c r="F413" s="183"/>
      <c r="G413" s="184">
        <f>G414+G415</f>
        <v>2436700</v>
      </c>
      <c r="H413" s="251"/>
      <c r="I413" s="184">
        <f t="shared" si="26"/>
        <v>2436700</v>
      </c>
      <c r="J413" s="184">
        <f>J414+J415</f>
        <v>2436700</v>
      </c>
      <c r="K413" s="251"/>
      <c r="L413" s="184">
        <f t="shared" si="24"/>
        <v>2436700</v>
      </c>
      <c r="M413" s="184">
        <f>M414+M415</f>
        <v>2436700</v>
      </c>
      <c r="N413" s="251"/>
      <c r="O413" s="184">
        <f t="shared" si="27"/>
        <v>2436700</v>
      </c>
    </row>
    <row r="414" spans="1:15" ht="43.5" customHeight="1">
      <c r="A414" s="192" t="s">
        <v>194</v>
      </c>
      <c r="B414" s="182" t="s">
        <v>797</v>
      </c>
      <c r="C414" s="182" t="s">
        <v>378</v>
      </c>
      <c r="D414" s="182" t="s">
        <v>262</v>
      </c>
      <c r="E414" s="190" t="s">
        <v>734</v>
      </c>
      <c r="F414" s="193" t="s">
        <v>195</v>
      </c>
      <c r="G414" s="184">
        <v>2436700</v>
      </c>
      <c r="H414" s="251"/>
      <c r="I414" s="184">
        <f t="shared" si="26"/>
        <v>2436700</v>
      </c>
      <c r="J414" s="184">
        <v>2436700</v>
      </c>
      <c r="K414" s="251"/>
      <c r="L414" s="184">
        <f t="shared" si="24"/>
        <v>2436700</v>
      </c>
      <c r="M414" s="184">
        <v>2436700</v>
      </c>
      <c r="N414" s="251"/>
      <c r="O414" s="184">
        <f t="shared" si="27"/>
        <v>2436700</v>
      </c>
    </row>
    <row r="415" spans="1:15" ht="31.5" customHeight="1" hidden="1">
      <c r="A415" s="192" t="s">
        <v>206</v>
      </c>
      <c r="B415" s="182" t="s">
        <v>797</v>
      </c>
      <c r="C415" s="182" t="s">
        <v>378</v>
      </c>
      <c r="D415" s="182" t="s">
        <v>262</v>
      </c>
      <c r="E415" s="190" t="s">
        <v>734</v>
      </c>
      <c r="F415" s="193" t="s">
        <v>207</v>
      </c>
      <c r="G415" s="184"/>
      <c r="H415" s="251"/>
      <c r="I415" s="184">
        <f t="shared" si="26"/>
        <v>0</v>
      </c>
      <c r="J415" s="184"/>
      <c r="K415" s="251"/>
      <c r="L415" s="184">
        <f t="shared" si="24"/>
        <v>0</v>
      </c>
      <c r="M415" s="184"/>
      <c r="N415" s="251"/>
      <c r="O415" s="184">
        <f t="shared" si="27"/>
        <v>0</v>
      </c>
    </row>
    <row r="416" spans="1:15" ht="15">
      <c r="A416" s="199" t="s">
        <v>735</v>
      </c>
      <c r="B416" s="182" t="s">
        <v>797</v>
      </c>
      <c r="C416" s="182" t="s">
        <v>277</v>
      </c>
      <c r="D416" s="182"/>
      <c r="E416" s="182"/>
      <c r="F416" s="183"/>
      <c r="G416" s="184">
        <f aca="true" t="shared" si="28" ref="G416:G421">G417</f>
        <v>100000</v>
      </c>
      <c r="H416" s="251"/>
      <c r="I416" s="184">
        <f t="shared" si="26"/>
        <v>100000</v>
      </c>
      <c r="J416" s="184">
        <f aca="true" t="shared" si="29" ref="J416:J421">J417</f>
        <v>100000</v>
      </c>
      <c r="K416" s="251"/>
      <c r="L416" s="184">
        <f t="shared" si="24"/>
        <v>100000</v>
      </c>
      <c r="M416" s="184">
        <f aca="true" t="shared" si="30" ref="M416:M421">M417</f>
        <v>100000</v>
      </c>
      <c r="N416" s="251"/>
      <c r="O416" s="184">
        <f t="shared" si="27"/>
        <v>100000</v>
      </c>
    </row>
    <row r="417" spans="1:15" ht="15">
      <c r="A417" s="199" t="s">
        <v>736</v>
      </c>
      <c r="B417" s="182" t="s">
        <v>797</v>
      </c>
      <c r="C417" s="182" t="s">
        <v>277</v>
      </c>
      <c r="D417" s="182" t="s">
        <v>185</v>
      </c>
      <c r="E417" s="182"/>
      <c r="F417" s="183"/>
      <c r="G417" s="184">
        <f t="shared" si="28"/>
        <v>100000</v>
      </c>
      <c r="H417" s="251"/>
      <c r="I417" s="184">
        <f t="shared" si="26"/>
        <v>100000</v>
      </c>
      <c r="J417" s="184">
        <f t="shared" si="29"/>
        <v>100000</v>
      </c>
      <c r="K417" s="251"/>
      <c r="L417" s="184">
        <f t="shared" si="24"/>
        <v>100000</v>
      </c>
      <c r="M417" s="184">
        <f t="shared" si="30"/>
        <v>100000</v>
      </c>
      <c r="N417" s="251"/>
      <c r="O417" s="184">
        <f t="shared" si="27"/>
        <v>100000</v>
      </c>
    </row>
    <row r="418" spans="1:15" ht="43.5" customHeight="1">
      <c r="A418" s="199" t="s">
        <v>621</v>
      </c>
      <c r="B418" s="182" t="s">
        <v>797</v>
      </c>
      <c r="C418" s="182" t="s">
        <v>277</v>
      </c>
      <c r="D418" s="182" t="s">
        <v>185</v>
      </c>
      <c r="E418" s="207" t="s">
        <v>622</v>
      </c>
      <c r="F418" s="183"/>
      <c r="G418" s="184">
        <f t="shared" si="28"/>
        <v>100000</v>
      </c>
      <c r="H418" s="251"/>
      <c r="I418" s="184">
        <f t="shared" si="26"/>
        <v>100000</v>
      </c>
      <c r="J418" s="184">
        <f t="shared" si="29"/>
        <v>100000</v>
      </c>
      <c r="K418" s="251"/>
      <c r="L418" s="184">
        <f t="shared" si="24"/>
        <v>100000</v>
      </c>
      <c r="M418" s="184">
        <f t="shared" si="30"/>
        <v>100000</v>
      </c>
      <c r="N418" s="251"/>
      <c r="O418" s="184">
        <f t="shared" si="27"/>
        <v>100000</v>
      </c>
    </row>
    <row r="419" spans="1:15" ht="58.5" customHeight="1">
      <c r="A419" s="211" t="s">
        <v>737</v>
      </c>
      <c r="B419" s="182" t="s">
        <v>797</v>
      </c>
      <c r="C419" s="182" t="s">
        <v>277</v>
      </c>
      <c r="D419" s="182" t="s">
        <v>185</v>
      </c>
      <c r="E419" s="207" t="s">
        <v>738</v>
      </c>
      <c r="F419" s="183"/>
      <c r="G419" s="184">
        <f t="shared" si="28"/>
        <v>100000</v>
      </c>
      <c r="H419" s="184">
        <f>H420</f>
        <v>0</v>
      </c>
      <c r="I419" s="184">
        <f t="shared" si="26"/>
        <v>100000</v>
      </c>
      <c r="J419" s="184">
        <f t="shared" si="29"/>
        <v>100000</v>
      </c>
      <c r="K419" s="184">
        <f>K420</f>
        <v>0</v>
      </c>
      <c r="L419" s="184">
        <f t="shared" si="24"/>
        <v>100000</v>
      </c>
      <c r="M419" s="184">
        <f t="shared" si="30"/>
        <v>100000</v>
      </c>
      <c r="N419" s="184">
        <f>N420</f>
        <v>0</v>
      </c>
      <c r="O419" s="184">
        <f t="shared" si="27"/>
        <v>100000</v>
      </c>
    </row>
    <row r="420" spans="1:15" ht="41.25" customHeight="1">
      <c r="A420" s="211" t="s">
        <v>739</v>
      </c>
      <c r="B420" s="182" t="s">
        <v>797</v>
      </c>
      <c r="C420" s="182" t="s">
        <v>277</v>
      </c>
      <c r="D420" s="182" t="s">
        <v>185</v>
      </c>
      <c r="E420" s="207" t="s">
        <v>740</v>
      </c>
      <c r="F420" s="183"/>
      <c r="G420" s="184">
        <f t="shared" si="28"/>
        <v>100000</v>
      </c>
      <c r="H420" s="251"/>
      <c r="I420" s="184">
        <f t="shared" si="26"/>
        <v>100000</v>
      </c>
      <c r="J420" s="184">
        <f t="shared" si="29"/>
        <v>100000</v>
      </c>
      <c r="K420" s="251"/>
      <c r="L420" s="184">
        <f t="shared" si="24"/>
        <v>100000</v>
      </c>
      <c r="M420" s="184">
        <f t="shared" si="30"/>
        <v>100000</v>
      </c>
      <c r="N420" s="251"/>
      <c r="O420" s="184">
        <f t="shared" si="27"/>
        <v>100000</v>
      </c>
    </row>
    <row r="421" spans="1:15" ht="42.75" customHeight="1">
      <c r="A421" s="199" t="s">
        <v>741</v>
      </c>
      <c r="B421" s="182" t="s">
        <v>797</v>
      </c>
      <c r="C421" s="182" t="s">
        <v>277</v>
      </c>
      <c r="D421" s="182" t="s">
        <v>185</v>
      </c>
      <c r="E421" s="207" t="s">
        <v>742</v>
      </c>
      <c r="F421" s="183"/>
      <c r="G421" s="184">
        <f t="shared" si="28"/>
        <v>100000</v>
      </c>
      <c r="H421" s="251"/>
      <c r="I421" s="184">
        <f t="shared" si="26"/>
        <v>100000</v>
      </c>
      <c r="J421" s="184">
        <f t="shared" si="29"/>
        <v>100000</v>
      </c>
      <c r="K421" s="251"/>
      <c r="L421" s="184">
        <f t="shared" si="24"/>
        <v>100000</v>
      </c>
      <c r="M421" s="184">
        <f t="shared" si="30"/>
        <v>100000</v>
      </c>
      <c r="N421" s="251"/>
      <c r="O421" s="184">
        <f t="shared" si="27"/>
        <v>100000</v>
      </c>
    </row>
    <row r="422" spans="1:15" ht="25.5">
      <c r="A422" s="192" t="s">
        <v>206</v>
      </c>
      <c r="B422" s="182" t="s">
        <v>797</v>
      </c>
      <c r="C422" s="182" t="s">
        <v>277</v>
      </c>
      <c r="D422" s="182" t="s">
        <v>185</v>
      </c>
      <c r="E422" s="207" t="s">
        <v>742</v>
      </c>
      <c r="F422" s="183" t="s">
        <v>207</v>
      </c>
      <c r="G422" s="184">
        <v>100000</v>
      </c>
      <c r="H422" s="251"/>
      <c r="I422" s="184">
        <f t="shared" si="26"/>
        <v>100000</v>
      </c>
      <c r="J422" s="184">
        <v>100000</v>
      </c>
      <c r="K422" s="251"/>
      <c r="L422" s="184">
        <f t="shared" si="24"/>
        <v>100000</v>
      </c>
      <c r="M422" s="184">
        <v>100000</v>
      </c>
      <c r="N422" s="251"/>
      <c r="O422" s="184">
        <f t="shared" si="27"/>
        <v>100000</v>
      </c>
    </row>
    <row r="423" spans="1:15" ht="15.75" customHeight="1">
      <c r="A423" s="199" t="s">
        <v>747</v>
      </c>
      <c r="B423" s="182" t="s">
        <v>797</v>
      </c>
      <c r="C423" s="182" t="s">
        <v>285</v>
      </c>
      <c r="D423" s="182"/>
      <c r="E423" s="182"/>
      <c r="F423" s="183"/>
      <c r="G423" s="184">
        <f>G424</f>
        <v>3000</v>
      </c>
      <c r="H423" s="251"/>
      <c r="I423" s="184">
        <f t="shared" si="26"/>
        <v>3000</v>
      </c>
      <c r="J423" s="184">
        <f>J424</f>
        <v>3000</v>
      </c>
      <c r="K423" s="251"/>
      <c r="L423" s="184">
        <f t="shared" si="24"/>
        <v>3000</v>
      </c>
      <c r="M423" s="184">
        <f>M424</f>
        <v>3000</v>
      </c>
      <c r="N423" s="251"/>
      <c r="O423" s="184">
        <f t="shared" si="27"/>
        <v>3000</v>
      </c>
    </row>
    <row r="424" spans="1:15" ht="19.5" customHeight="1">
      <c r="A424" s="199" t="s">
        <v>748</v>
      </c>
      <c r="B424" s="182" t="s">
        <v>797</v>
      </c>
      <c r="C424" s="182" t="s">
        <v>285</v>
      </c>
      <c r="D424" s="182" t="s">
        <v>185</v>
      </c>
      <c r="E424" s="182"/>
      <c r="F424" s="183"/>
      <c r="G424" s="184">
        <f>G425</f>
        <v>3000</v>
      </c>
      <c r="H424" s="251"/>
      <c r="I424" s="184">
        <f t="shared" si="26"/>
        <v>3000</v>
      </c>
      <c r="J424" s="184">
        <f>J425</f>
        <v>3000</v>
      </c>
      <c r="K424" s="251"/>
      <c r="L424" s="184">
        <f t="shared" si="24"/>
        <v>3000</v>
      </c>
      <c r="M424" s="184">
        <f>M425</f>
        <v>3000</v>
      </c>
      <c r="N424" s="251"/>
      <c r="O424" s="184">
        <f t="shared" si="27"/>
        <v>3000</v>
      </c>
    </row>
    <row r="425" spans="1:15" ht="30.75" customHeight="1">
      <c r="A425" s="197" t="s">
        <v>749</v>
      </c>
      <c r="B425" s="182" t="s">
        <v>797</v>
      </c>
      <c r="C425" s="182" t="s">
        <v>285</v>
      </c>
      <c r="D425" s="182" t="s">
        <v>185</v>
      </c>
      <c r="E425" s="204" t="s">
        <v>750</v>
      </c>
      <c r="F425" s="183"/>
      <c r="G425" s="184">
        <f>G426</f>
        <v>3000</v>
      </c>
      <c r="H425" s="251"/>
      <c r="I425" s="184">
        <f t="shared" si="26"/>
        <v>3000</v>
      </c>
      <c r="J425" s="184">
        <f>J426</f>
        <v>3000</v>
      </c>
      <c r="K425" s="251"/>
      <c r="L425" s="184">
        <f t="shared" si="24"/>
        <v>3000</v>
      </c>
      <c r="M425" s="184">
        <f>M426</f>
        <v>3000</v>
      </c>
      <c r="N425" s="251"/>
      <c r="O425" s="184">
        <f t="shared" si="27"/>
        <v>3000</v>
      </c>
    </row>
    <row r="426" spans="1:15" ht="55.5" customHeight="1">
      <c r="A426" s="197" t="s">
        <v>751</v>
      </c>
      <c r="B426" s="182" t="s">
        <v>797</v>
      </c>
      <c r="C426" s="231" t="s">
        <v>285</v>
      </c>
      <c r="D426" s="231" t="s">
        <v>185</v>
      </c>
      <c r="E426" s="204" t="s">
        <v>752</v>
      </c>
      <c r="F426" s="225"/>
      <c r="G426" s="234">
        <f>G428</f>
        <v>3000</v>
      </c>
      <c r="H426" s="251"/>
      <c r="I426" s="184">
        <f t="shared" si="26"/>
        <v>3000</v>
      </c>
      <c r="J426" s="234">
        <f>J428</f>
        <v>3000</v>
      </c>
      <c r="K426" s="251"/>
      <c r="L426" s="184">
        <f t="shared" si="24"/>
        <v>3000</v>
      </c>
      <c r="M426" s="234">
        <f>M428</f>
        <v>3000</v>
      </c>
      <c r="N426" s="251"/>
      <c r="O426" s="184">
        <f t="shared" si="27"/>
        <v>3000</v>
      </c>
    </row>
    <row r="427" spans="1:15" ht="44.25" customHeight="1">
      <c r="A427" s="197" t="s">
        <v>753</v>
      </c>
      <c r="B427" s="182" t="s">
        <v>797</v>
      </c>
      <c r="C427" s="182" t="s">
        <v>285</v>
      </c>
      <c r="D427" s="182" t="s">
        <v>185</v>
      </c>
      <c r="E427" s="204" t="s">
        <v>754</v>
      </c>
      <c r="F427" s="225"/>
      <c r="G427" s="234">
        <f>G428</f>
        <v>3000</v>
      </c>
      <c r="H427" s="251"/>
      <c r="I427" s="184">
        <f t="shared" si="26"/>
        <v>3000</v>
      </c>
      <c r="J427" s="234">
        <f>J428</f>
        <v>3000</v>
      </c>
      <c r="K427" s="251"/>
      <c r="L427" s="184">
        <f t="shared" si="24"/>
        <v>3000</v>
      </c>
      <c r="M427" s="234">
        <f>M428</f>
        <v>3000</v>
      </c>
      <c r="N427" s="251"/>
      <c r="O427" s="184">
        <f t="shared" si="27"/>
        <v>3000</v>
      </c>
    </row>
    <row r="428" spans="1:15" ht="19.5" customHeight="1">
      <c r="A428" s="199" t="s">
        <v>755</v>
      </c>
      <c r="B428" s="182" t="s">
        <v>797</v>
      </c>
      <c r="C428" s="182" t="s">
        <v>285</v>
      </c>
      <c r="D428" s="182" t="s">
        <v>185</v>
      </c>
      <c r="E428" s="204" t="s">
        <v>756</v>
      </c>
      <c r="F428" s="183"/>
      <c r="G428" s="184">
        <f>G429</f>
        <v>3000</v>
      </c>
      <c r="H428" s="251"/>
      <c r="I428" s="184">
        <f t="shared" si="26"/>
        <v>3000</v>
      </c>
      <c r="J428" s="184">
        <f>J429</f>
        <v>3000</v>
      </c>
      <c r="K428" s="251"/>
      <c r="L428" s="184">
        <f t="shared" si="24"/>
        <v>3000</v>
      </c>
      <c r="M428" s="184">
        <f>M429</f>
        <v>3000</v>
      </c>
      <c r="N428" s="251"/>
      <c r="O428" s="184">
        <f t="shared" si="27"/>
        <v>3000</v>
      </c>
    </row>
    <row r="429" spans="1:15" ht="18" customHeight="1">
      <c r="A429" s="197" t="s">
        <v>757</v>
      </c>
      <c r="B429" s="182" t="s">
        <v>797</v>
      </c>
      <c r="C429" s="182" t="s">
        <v>285</v>
      </c>
      <c r="D429" s="182" t="s">
        <v>185</v>
      </c>
      <c r="E429" s="204" t="s">
        <v>756</v>
      </c>
      <c r="F429" s="183" t="s">
        <v>758</v>
      </c>
      <c r="G429" s="184">
        <v>3000</v>
      </c>
      <c r="H429" s="251"/>
      <c r="I429" s="184">
        <f t="shared" si="26"/>
        <v>3000</v>
      </c>
      <c r="J429" s="184">
        <v>3000</v>
      </c>
      <c r="K429" s="251"/>
      <c r="L429" s="184">
        <f t="shared" si="24"/>
        <v>3000</v>
      </c>
      <c r="M429" s="184">
        <v>3000</v>
      </c>
      <c r="N429" s="251"/>
      <c r="O429" s="184">
        <f t="shared" si="27"/>
        <v>3000</v>
      </c>
    </row>
    <row r="430" spans="1:15" ht="30.75" customHeight="1">
      <c r="A430" s="199" t="s">
        <v>759</v>
      </c>
      <c r="B430" s="182" t="s">
        <v>797</v>
      </c>
      <c r="C430" s="182" t="s">
        <v>760</v>
      </c>
      <c r="D430" s="182"/>
      <c r="E430" s="182"/>
      <c r="F430" s="183"/>
      <c r="G430" s="184">
        <f>G431+G437</f>
        <v>12561264</v>
      </c>
      <c r="H430" s="251"/>
      <c r="I430" s="184">
        <f t="shared" si="26"/>
        <v>12561264</v>
      </c>
      <c r="J430" s="184">
        <f aca="true" t="shared" si="31" ref="J430:J435">J431</f>
        <v>10802687</v>
      </c>
      <c r="K430" s="251"/>
      <c r="L430" s="184">
        <f t="shared" si="24"/>
        <v>10802687</v>
      </c>
      <c r="M430" s="184">
        <f aca="true" t="shared" si="32" ref="M430:M435">M431</f>
        <v>10049011</v>
      </c>
      <c r="N430" s="251"/>
      <c r="O430" s="184">
        <f t="shared" si="27"/>
        <v>10049011</v>
      </c>
    </row>
    <row r="431" spans="1:15" ht="28.5" customHeight="1">
      <c r="A431" s="199" t="s">
        <v>761</v>
      </c>
      <c r="B431" s="182" t="s">
        <v>797</v>
      </c>
      <c r="C431" s="182" t="s">
        <v>760</v>
      </c>
      <c r="D431" s="182" t="s">
        <v>185</v>
      </c>
      <c r="E431" s="182"/>
      <c r="F431" s="183"/>
      <c r="G431" s="184">
        <f>G432</f>
        <v>12561264</v>
      </c>
      <c r="H431" s="251"/>
      <c r="I431" s="184">
        <f t="shared" si="26"/>
        <v>12561264</v>
      </c>
      <c r="J431" s="184">
        <f t="shared" si="31"/>
        <v>10802687</v>
      </c>
      <c r="K431" s="251"/>
      <c r="L431" s="184">
        <f t="shared" si="24"/>
        <v>10802687</v>
      </c>
      <c r="M431" s="184">
        <f t="shared" si="32"/>
        <v>10049011</v>
      </c>
      <c r="N431" s="251"/>
      <c r="O431" s="184">
        <f t="shared" si="27"/>
        <v>10049011</v>
      </c>
    </row>
    <row r="432" spans="1:15" ht="32.25" customHeight="1">
      <c r="A432" s="197" t="s">
        <v>762</v>
      </c>
      <c r="B432" s="182" t="s">
        <v>797</v>
      </c>
      <c r="C432" s="182" t="s">
        <v>760</v>
      </c>
      <c r="D432" s="182" t="s">
        <v>185</v>
      </c>
      <c r="E432" s="182" t="s">
        <v>750</v>
      </c>
      <c r="F432" s="183"/>
      <c r="G432" s="184">
        <f>G433</f>
        <v>12561264</v>
      </c>
      <c r="H432" s="251"/>
      <c r="I432" s="184">
        <f t="shared" si="26"/>
        <v>12561264</v>
      </c>
      <c r="J432" s="184">
        <f t="shared" si="31"/>
        <v>10802687</v>
      </c>
      <c r="K432" s="251"/>
      <c r="L432" s="184">
        <f t="shared" si="24"/>
        <v>10802687</v>
      </c>
      <c r="M432" s="184">
        <f t="shared" si="32"/>
        <v>10049011</v>
      </c>
      <c r="N432" s="251"/>
      <c r="O432" s="184">
        <f t="shared" si="27"/>
        <v>10049011</v>
      </c>
    </row>
    <row r="433" spans="1:15" ht="53.25" customHeight="1">
      <c r="A433" s="197" t="s">
        <v>763</v>
      </c>
      <c r="B433" s="182" t="s">
        <v>797</v>
      </c>
      <c r="C433" s="182" t="s">
        <v>760</v>
      </c>
      <c r="D433" s="182" t="s">
        <v>185</v>
      </c>
      <c r="E433" s="182" t="s">
        <v>764</v>
      </c>
      <c r="F433" s="183"/>
      <c r="G433" s="184">
        <f>G434</f>
        <v>12561264</v>
      </c>
      <c r="H433" s="251"/>
      <c r="I433" s="184">
        <f t="shared" si="26"/>
        <v>12561264</v>
      </c>
      <c r="J433" s="184">
        <f t="shared" si="31"/>
        <v>10802687</v>
      </c>
      <c r="K433" s="251"/>
      <c r="L433" s="184">
        <f t="shared" si="24"/>
        <v>10802687</v>
      </c>
      <c r="M433" s="184">
        <f t="shared" si="32"/>
        <v>10049011</v>
      </c>
      <c r="N433" s="251"/>
      <c r="O433" s="184">
        <f t="shared" si="27"/>
        <v>10049011</v>
      </c>
    </row>
    <row r="434" spans="1:15" ht="30.75" customHeight="1">
      <c r="A434" s="197" t="s">
        <v>765</v>
      </c>
      <c r="B434" s="182" t="s">
        <v>797</v>
      </c>
      <c r="C434" s="182" t="s">
        <v>760</v>
      </c>
      <c r="D434" s="182" t="s">
        <v>185</v>
      </c>
      <c r="E434" s="182" t="s">
        <v>766</v>
      </c>
      <c r="F434" s="183"/>
      <c r="G434" s="184">
        <f>G435</f>
        <v>12561264</v>
      </c>
      <c r="H434" s="251"/>
      <c r="I434" s="184">
        <f t="shared" si="26"/>
        <v>12561264</v>
      </c>
      <c r="J434" s="184">
        <f t="shared" si="31"/>
        <v>10802687</v>
      </c>
      <c r="K434" s="251"/>
      <c r="L434" s="184">
        <f t="shared" si="24"/>
        <v>10802687</v>
      </c>
      <c r="M434" s="184">
        <f t="shared" si="32"/>
        <v>10049011</v>
      </c>
      <c r="N434" s="251"/>
      <c r="O434" s="184">
        <f t="shared" si="27"/>
        <v>10049011</v>
      </c>
    </row>
    <row r="435" spans="1:15" ht="19.5" customHeight="1">
      <c r="A435" s="197" t="s">
        <v>767</v>
      </c>
      <c r="B435" s="182" t="s">
        <v>797</v>
      </c>
      <c r="C435" s="182" t="s">
        <v>760</v>
      </c>
      <c r="D435" s="182" t="s">
        <v>185</v>
      </c>
      <c r="E435" s="182" t="s">
        <v>768</v>
      </c>
      <c r="F435" s="183"/>
      <c r="G435" s="184">
        <f>G436</f>
        <v>12561264</v>
      </c>
      <c r="H435" s="251"/>
      <c r="I435" s="184">
        <f t="shared" si="26"/>
        <v>12561264</v>
      </c>
      <c r="J435" s="184">
        <f t="shared" si="31"/>
        <v>10802687</v>
      </c>
      <c r="K435" s="251"/>
      <c r="L435" s="184">
        <f t="shared" si="24"/>
        <v>10802687</v>
      </c>
      <c r="M435" s="184">
        <f t="shared" si="32"/>
        <v>10049011</v>
      </c>
      <c r="N435" s="251"/>
      <c r="O435" s="184">
        <f t="shared" si="27"/>
        <v>10049011</v>
      </c>
    </row>
    <row r="436" spans="1:15" ht="18.75" customHeight="1">
      <c r="A436" s="220" t="s">
        <v>507</v>
      </c>
      <c r="B436" s="182" t="s">
        <v>797</v>
      </c>
      <c r="C436" s="182" t="s">
        <v>760</v>
      </c>
      <c r="D436" s="182" t="s">
        <v>185</v>
      </c>
      <c r="E436" s="182" t="s">
        <v>768</v>
      </c>
      <c r="F436" s="193" t="s">
        <v>508</v>
      </c>
      <c r="G436" s="184">
        <v>12561264</v>
      </c>
      <c r="H436" s="251"/>
      <c r="I436" s="184">
        <f t="shared" si="26"/>
        <v>12561264</v>
      </c>
      <c r="J436" s="184">
        <v>10802687</v>
      </c>
      <c r="K436" s="251"/>
      <c r="L436" s="184">
        <f>J436+K436</f>
        <v>10802687</v>
      </c>
      <c r="M436" s="184">
        <v>10049011</v>
      </c>
      <c r="N436" s="251"/>
      <c r="O436" s="184">
        <f t="shared" si="27"/>
        <v>10049011</v>
      </c>
    </row>
    <row r="437" spans="1:15" ht="19.5" customHeight="1" hidden="1">
      <c r="A437" s="187" t="s">
        <v>769</v>
      </c>
      <c r="B437" s="182" t="s">
        <v>797</v>
      </c>
      <c r="C437" s="182" t="s">
        <v>760</v>
      </c>
      <c r="D437" s="182" t="s">
        <v>197</v>
      </c>
      <c r="E437" s="182"/>
      <c r="F437" s="183"/>
      <c r="G437" s="184">
        <f>G438</f>
        <v>0</v>
      </c>
      <c r="H437" s="251"/>
      <c r="I437" s="184">
        <f t="shared" si="26"/>
        <v>0</v>
      </c>
      <c r="J437" s="184"/>
      <c r="K437" s="251"/>
      <c r="L437" s="184"/>
      <c r="M437" s="184"/>
      <c r="N437" s="251"/>
      <c r="O437" s="184"/>
    </row>
    <row r="438" spans="1:15" ht="19.5" customHeight="1" hidden="1">
      <c r="A438" s="191" t="s">
        <v>282</v>
      </c>
      <c r="B438" s="182" t="s">
        <v>797</v>
      </c>
      <c r="C438" s="182" t="s">
        <v>760</v>
      </c>
      <c r="D438" s="182" t="s">
        <v>197</v>
      </c>
      <c r="E438" s="182" t="s">
        <v>770</v>
      </c>
      <c r="F438" s="183"/>
      <c r="G438" s="184">
        <f>G439</f>
        <v>0</v>
      </c>
      <c r="H438" s="251"/>
      <c r="I438" s="184">
        <f t="shared" si="26"/>
        <v>0</v>
      </c>
      <c r="J438" s="184"/>
      <c r="K438" s="251"/>
      <c r="L438" s="184"/>
      <c r="M438" s="184"/>
      <c r="N438" s="251"/>
      <c r="O438" s="184"/>
    </row>
    <row r="439" spans="1:15" ht="19.5" customHeight="1" hidden="1">
      <c r="A439" s="220" t="s">
        <v>507</v>
      </c>
      <c r="B439" s="182" t="s">
        <v>797</v>
      </c>
      <c r="C439" s="182" t="s">
        <v>760</v>
      </c>
      <c r="D439" s="182" t="s">
        <v>197</v>
      </c>
      <c r="E439" s="182" t="s">
        <v>770</v>
      </c>
      <c r="F439" s="183" t="s">
        <v>508</v>
      </c>
      <c r="G439" s="235"/>
      <c r="H439" s="251"/>
      <c r="I439" s="184">
        <f t="shared" si="26"/>
        <v>0</v>
      </c>
      <c r="J439" s="184"/>
      <c r="K439" s="251"/>
      <c r="L439" s="184"/>
      <c r="M439" s="184"/>
      <c r="N439" s="251"/>
      <c r="O439" s="184"/>
    </row>
    <row r="440" spans="1:18" ht="22.5" customHeight="1">
      <c r="A440" s="197" t="s">
        <v>800</v>
      </c>
      <c r="B440" s="182" t="s">
        <v>801</v>
      </c>
      <c r="C440" s="182"/>
      <c r="D440" s="182"/>
      <c r="E440" s="207"/>
      <c r="F440" s="210"/>
      <c r="G440" s="184">
        <f>G442+G598+G608</f>
        <v>568348558</v>
      </c>
      <c r="H440" s="184">
        <f>H442+H598+H608</f>
        <v>9342200</v>
      </c>
      <c r="I440" s="184">
        <f t="shared" si="26"/>
        <v>577690758</v>
      </c>
      <c r="J440" s="184">
        <f>J442+J598+J608</f>
        <v>649205171</v>
      </c>
      <c r="K440" s="184">
        <f>K442+K598+K608</f>
        <v>9342200</v>
      </c>
      <c r="L440" s="184">
        <f>J440+K440</f>
        <v>658547371</v>
      </c>
      <c r="M440" s="184">
        <f>M442+M598+M608</f>
        <v>679252484</v>
      </c>
      <c r="N440" s="184">
        <f>N442+N598+N608</f>
        <v>9342200</v>
      </c>
      <c r="O440" s="184">
        <f t="shared" si="27"/>
        <v>688594684</v>
      </c>
      <c r="R440" s="194"/>
    </row>
    <row r="441" spans="1:15" ht="25.5" hidden="1">
      <c r="A441" s="192" t="s">
        <v>206</v>
      </c>
      <c r="B441" s="182" t="s">
        <v>801</v>
      </c>
      <c r="C441" s="182" t="s">
        <v>210</v>
      </c>
      <c r="D441" s="182" t="s">
        <v>441</v>
      </c>
      <c r="E441" s="219" t="s">
        <v>316</v>
      </c>
      <c r="F441" s="183" t="s">
        <v>207</v>
      </c>
      <c r="G441" s="184"/>
      <c r="H441" s="251"/>
      <c r="I441" s="184">
        <f t="shared" si="26"/>
        <v>0</v>
      </c>
      <c r="J441" s="184"/>
      <c r="K441" s="251"/>
      <c r="L441" s="184">
        <f aca="true" t="shared" si="33" ref="L441:L449">J441+K441</f>
        <v>0</v>
      </c>
      <c r="M441" s="184"/>
      <c r="N441" s="251"/>
      <c r="O441" s="184">
        <f t="shared" si="27"/>
        <v>0</v>
      </c>
    </row>
    <row r="442" spans="1:15" ht="16.5" customHeight="1">
      <c r="A442" s="199" t="s">
        <v>527</v>
      </c>
      <c r="B442" s="182" t="s">
        <v>801</v>
      </c>
      <c r="C442" s="182" t="s">
        <v>269</v>
      </c>
      <c r="D442" s="182"/>
      <c r="E442" s="207"/>
      <c r="F442" s="210"/>
      <c r="G442" s="184">
        <f>G443+G468+G547+G569</f>
        <v>559566316</v>
      </c>
      <c r="H442" s="184">
        <f>H443+H468+H547+H569</f>
        <v>9342200</v>
      </c>
      <c r="I442" s="184">
        <f t="shared" si="26"/>
        <v>568908516</v>
      </c>
      <c r="J442" s="184">
        <f>J443+J468+J547+J569</f>
        <v>641995893</v>
      </c>
      <c r="K442" s="184">
        <f>K443+K468+K547+K569</f>
        <v>9342200</v>
      </c>
      <c r="L442" s="184">
        <f t="shared" si="33"/>
        <v>651338093</v>
      </c>
      <c r="M442" s="184">
        <f>M443+M468+M547+M569</f>
        <v>671935631</v>
      </c>
      <c r="N442" s="184">
        <f>N443+N468+N547+N569</f>
        <v>9342200</v>
      </c>
      <c r="O442" s="184">
        <f t="shared" si="27"/>
        <v>681277831</v>
      </c>
    </row>
    <row r="443" spans="1:19" ht="18" customHeight="1">
      <c r="A443" s="199" t="s">
        <v>528</v>
      </c>
      <c r="B443" s="182" t="s">
        <v>801</v>
      </c>
      <c r="C443" s="182" t="s">
        <v>269</v>
      </c>
      <c r="D443" s="182" t="s">
        <v>185</v>
      </c>
      <c r="E443" s="207"/>
      <c r="F443" s="210"/>
      <c r="G443" s="184">
        <f>G444+G463</f>
        <v>118319514</v>
      </c>
      <c r="H443" s="184">
        <f>H444+H463</f>
        <v>5342200</v>
      </c>
      <c r="I443" s="184">
        <f t="shared" si="26"/>
        <v>123661714</v>
      </c>
      <c r="J443" s="184">
        <f>J444+J463</f>
        <v>106591817</v>
      </c>
      <c r="K443" s="184">
        <f>K444+K463</f>
        <v>5342200</v>
      </c>
      <c r="L443" s="184">
        <f t="shared" si="33"/>
        <v>111934017</v>
      </c>
      <c r="M443" s="184">
        <f>M444+M463</f>
        <v>107068117</v>
      </c>
      <c r="N443" s="184">
        <f>N444+N463</f>
        <v>5342200</v>
      </c>
      <c r="O443" s="184">
        <f t="shared" si="27"/>
        <v>112410317</v>
      </c>
      <c r="P443" s="194"/>
      <c r="Q443" s="227"/>
      <c r="R443" s="227"/>
      <c r="S443" s="227"/>
    </row>
    <row r="444" spans="1:18" ht="34.5" customHeight="1">
      <c r="A444" s="199" t="s">
        <v>301</v>
      </c>
      <c r="B444" s="182" t="s">
        <v>801</v>
      </c>
      <c r="C444" s="182" t="s">
        <v>269</v>
      </c>
      <c r="D444" s="182" t="s">
        <v>185</v>
      </c>
      <c r="E444" s="182" t="s">
        <v>302</v>
      </c>
      <c r="F444" s="183"/>
      <c r="G444" s="184">
        <f>G445</f>
        <v>118319514</v>
      </c>
      <c r="H444" s="251">
        <f>H445</f>
        <v>5342200</v>
      </c>
      <c r="I444" s="184">
        <f t="shared" si="26"/>
        <v>123661714</v>
      </c>
      <c r="J444" s="184">
        <f>J445</f>
        <v>106591817</v>
      </c>
      <c r="K444" s="251">
        <f>K445</f>
        <v>5342200</v>
      </c>
      <c r="L444" s="184">
        <f t="shared" si="33"/>
        <v>111934017</v>
      </c>
      <c r="M444" s="184">
        <f>M445</f>
        <v>107068117</v>
      </c>
      <c r="N444" s="251">
        <f>N445</f>
        <v>5342200</v>
      </c>
      <c r="O444" s="184">
        <f t="shared" si="27"/>
        <v>112410317</v>
      </c>
      <c r="R444" s="194"/>
    </row>
    <row r="445" spans="1:15" ht="45" customHeight="1">
      <c r="A445" s="222" t="s">
        <v>529</v>
      </c>
      <c r="B445" s="182" t="s">
        <v>801</v>
      </c>
      <c r="C445" s="182" t="s">
        <v>269</v>
      </c>
      <c r="D445" s="182" t="s">
        <v>185</v>
      </c>
      <c r="E445" s="182" t="s">
        <v>530</v>
      </c>
      <c r="F445" s="183"/>
      <c r="G445" s="184">
        <f>G446+G459</f>
        <v>118319514</v>
      </c>
      <c r="H445" s="184">
        <f>H446+H459</f>
        <v>5342200</v>
      </c>
      <c r="I445" s="184">
        <f t="shared" si="26"/>
        <v>123661714</v>
      </c>
      <c r="J445" s="184">
        <f>J446+J459</f>
        <v>106591817</v>
      </c>
      <c r="K445" s="184">
        <f>K446+K459</f>
        <v>5342200</v>
      </c>
      <c r="L445" s="184">
        <f t="shared" si="33"/>
        <v>111934017</v>
      </c>
      <c r="M445" s="184">
        <f>M446+M459</f>
        <v>107068117</v>
      </c>
      <c r="N445" s="184">
        <f>N446+N459</f>
        <v>5342200</v>
      </c>
      <c r="O445" s="184">
        <f t="shared" si="27"/>
        <v>112410317</v>
      </c>
    </row>
    <row r="446" spans="1:15" ht="30" customHeight="1">
      <c r="A446" s="199" t="s">
        <v>531</v>
      </c>
      <c r="B446" s="182" t="s">
        <v>801</v>
      </c>
      <c r="C446" s="182" t="s">
        <v>269</v>
      </c>
      <c r="D446" s="182" t="s">
        <v>185</v>
      </c>
      <c r="E446" s="182" t="s">
        <v>532</v>
      </c>
      <c r="F446" s="183"/>
      <c r="G446" s="184">
        <f>G447+G454+G452+G450</f>
        <v>112911491</v>
      </c>
      <c r="H446" s="184">
        <f>H447+H454+H452+H450</f>
        <v>5342200</v>
      </c>
      <c r="I446" s="184">
        <f t="shared" si="26"/>
        <v>118253691</v>
      </c>
      <c r="J446" s="184">
        <f>J447+J454+J452+J450</f>
        <v>103298306</v>
      </c>
      <c r="K446" s="184">
        <f>K447+K454+K452+K450</f>
        <v>5342200</v>
      </c>
      <c r="L446" s="184">
        <f t="shared" si="33"/>
        <v>108640506</v>
      </c>
      <c r="M446" s="184">
        <f>M447+M454+M452+M450</f>
        <v>103774606</v>
      </c>
      <c r="N446" s="184">
        <f>N447+N454+N452+N450</f>
        <v>5342200</v>
      </c>
      <c r="O446" s="184">
        <f t="shared" si="27"/>
        <v>109116806</v>
      </c>
    </row>
    <row r="447" spans="1:15" ht="66.75" customHeight="1">
      <c r="A447" s="200" t="s">
        <v>533</v>
      </c>
      <c r="B447" s="182" t="s">
        <v>801</v>
      </c>
      <c r="C447" s="182" t="s">
        <v>269</v>
      </c>
      <c r="D447" s="182" t="s">
        <v>185</v>
      </c>
      <c r="E447" s="182" t="s">
        <v>534</v>
      </c>
      <c r="F447" s="183"/>
      <c r="G447" s="184">
        <f>G448+G449</f>
        <v>72149054</v>
      </c>
      <c r="H447" s="251"/>
      <c r="I447" s="184">
        <f t="shared" si="26"/>
        <v>72149054</v>
      </c>
      <c r="J447" s="184">
        <f>J448+J449</f>
        <v>67486657</v>
      </c>
      <c r="K447" s="251"/>
      <c r="L447" s="184">
        <f t="shared" si="33"/>
        <v>67486657</v>
      </c>
      <c r="M447" s="184">
        <f>M448+M449</f>
        <v>67486657</v>
      </c>
      <c r="N447" s="251"/>
      <c r="O447" s="184">
        <f t="shared" si="27"/>
        <v>67486657</v>
      </c>
    </row>
    <row r="448" spans="1:15" ht="43.5" customHeight="1">
      <c r="A448" s="191" t="s">
        <v>194</v>
      </c>
      <c r="B448" s="182" t="s">
        <v>801</v>
      </c>
      <c r="C448" s="182" t="s">
        <v>269</v>
      </c>
      <c r="D448" s="182" t="s">
        <v>185</v>
      </c>
      <c r="E448" s="182" t="s">
        <v>534</v>
      </c>
      <c r="F448" s="183" t="s">
        <v>195</v>
      </c>
      <c r="G448" s="184">
        <v>71626719</v>
      </c>
      <c r="H448" s="251"/>
      <c r="I448" s="184">
        <f t="shared" si="26"/>
        <v>71626719</v>
      </c>
      <c r="J448" s="184">
        <v>66964322</v>
      </c>
      <c r="K448" s="251"/>
      <c r="L448" s="184">
        <f t="shared" si="33"/>
        <v>66964322</v>
      </c>
      <c r="M448" s="184">
        <v>66964322</v>
      </c>
      <c r="N448" s="251"/>
      <c r="O448" s="184">
        <f t="shared" si="27"/>
        <v>66964322</v>
      </c>
    </row>
    <row r="449" spans="1:15" ht="16.5" customHeight="1">
      <c r="A449" s="192" t="s">
        <v>206</v>
      </c>
      <c r="B449" s="182" t="s">
        <v>801</v>
      </c>
      <c r="C449" s="182" t="s">
        <v>269</v>
      </c>
      <c r="D449" s="182" t="s">
        <v>185</v>
      </c>
      <c r="E449" s="182" t="s">
        <v>534</v>
      </c>
      <c r="F449" s="183" t="s">
        <v>207</v>
      </c>
      <c r="G449" s="184">
        <v>522335</v>
      </c>
      <c r="H449" s="251"/>
      <c r="I449" s="184">
        <f t="shared" si="26"/>
        <v>522335</v>
      </c>
      <c r="J449" s="184">
        <v>522335</v>
      </c>
      <c r="K449" s="251"/>
      <c r="L449" s="184">
        <f t="shared" si="33"/>
        <v>522335</v>
      </c>
      <c r="M449" s="184">
        <v>522335</v>
      </c>
      <c r="N449" s="251"/>
      <c r="O449" s="184">
        <f t="shared" si="27"/>
        <v>522335</v>
      </c>
    </row>
    <row r="450" spans="1:15" ht="17.25" customHeight="1" hidden="1">
      <c r="A450" s="200" t="s">
        <v>535</v>
      </c>
      <c r="B450" s="182" t="s">
        <v>801</v>
      </c>
      <c r="C450" s="182" t="s">
        <v>269</v>
      </c>
      <c r="D450" s="182" t="s">
        <v>185</v>
      </c>
      <c r="E450" s="182" t="s">
        <v>536</v>
      </c>
      <c r="F450" s="183"/>
      <c r="G450" s="184">
        <f>G451</f>
        <v>0</v>
      </c>
      <c r="H450" s="251"/>
      <c r="I450" s="184">
        <f t="shared" si="26"/>
        <v>0</v>
      </c>
      <c r="J450" s="184">
        <f>J451</f>
        <v>0</v>
      </c>
      <c r="K450" s="251"/>
      <c r="L450" s="184">
        <f>J450+K450</f>
        <v>0</v>
      </c>
      <c r="M450" s="184">
        <f>M451</f>
        <v>0</v>
      </c>
      <c r="N450" s="251"/>
      <c r="O450" s="184">
        <f>M450+N450</f>
        <v>0</v>
      </c>
    </row>
    <row r="451" spans="1:15" ht="17.25" customHeight="1" hidden="1">
      <c r="A451" s="192" t="s">
        <v>206</v>
      </c>
      <c r="B451" s="182" t="s">
        <v>801</v>
      </c>
      <c r="C451" s="182" t="s">
        <v>269</v>
      </c>
      <c r="D451" s="182" t="s">
        <v>185</v>
      </c>
      <c r="E451" s="182" t="s">
        <v>536</v>
      </c>
      <c r="F451" s="183" t="s">
        <v>207</v>
      </c>
      <c r="G451" s="184"/>
      <c r="H451" s="251"/>
      <c r="I451" s="184">
        <f t="shared" si="26"/>
        <v>0</v>
      </c>
      <c r="J451" s="184"/>
      <c r="K451" s="251"/>
      <c r="L451" s="184">
        <f>J451+K451</f>
        <v>0</v>
      </c>
      <c r="M451" s="184"/>
      <c r="N451" s="251"/>
      <c r="O451" s="184">
        <f>M451+N451</f>
        <v>0</v>
      </c>
    </row>
    <row r="452" spans="1:15" ht="25.5" hidden="1">
      <c r="A452" s="200" t="s">
        <v>537</v>
      </c>
      <c r="B452" s="182" t="s">
        <v>801</v>
      </c>
      <c r="C452" s="182" t="s">
        <v>269</v>
      </c>
      <c r="D452" s="182" t="s">
        <v>185</v>
      </c>
      <c r="E452" s="182" t="s">
        <v>538</v>
      </c>
      <c r="F452" s="183"/>
      <c r="G452" s="184">
        <f>G453</f>
        <v>0</v>
      </c>
      <c r="H452" s="251"/>
      <c r="I452" s="184">
        <f t="shared" si="26"/>
        <v>0</v>
      </c>
      <c r="J452" s="184">
        <f>J453</f>
        <v>0</v>
      </c>
      <c r="K452" s="251"/>
      <c r="L452" s="184">
        <f aca="true" t="shared" si="34" ref="L452:L515">J452+K452</f>
        <v>0</v>
      </c>
      <c r="M452" s="184">
        <f>M453</f>
        <v>0</v>
      </c>
      <c r="N452" s="251"/>
      <c r="O452" s="184">
        <f aca="true" t="shared" si="35" ref="O452:O513">M452+N452</f>
        <v>0</v>
      </c>
    </row>
    <row r="453" spans="1:15" ht="18" customHeight="1" hidden="1">
      <c r="A453" s="192" t="s">
        <v>206</v>
      </c>
      <c r="B453" s="182" t="s">
        <v>801</v>
      </c>
      <c r="C453" s="182" t="s">
        <v>269</v>
      </c>
      <c r="D453" s="182" t="s">
        <v>185</v>
      </c>
      <c r="E453" s="182" t="s">
        <v>538</v>
      </c>
      <c r="F453" s="183" t="s">
        <v>207</v>
      </c>
      <c r="G453" s="184"/>
      <c r="H453" s="251"/>
      <c r="I453" s="184">
        <f t="shared" si="26"/>
        <v>0</v>
      </c>
      <c r="J453" s="184"/>
      <c r="K453" s="251"/>
      <c r="L453" s="184">
        <f t="shared" si="34"/>
        <v>0</v>
      </c>
      <c r="M453" s="184"/>
      <c r="N453" s="251"/>
      <c r="O453" s="184">
        <f t="shared" si="35"/>
        <v>0</v>
      </c>
    </row>
    <row r="454" spans="1:15" ht="19.5" customHeight="1">
      <c r="A454" s="199" t="s">
        <v>366</v>
      </c>
      <c r="B454" s="182" t="s">
        <v>801</v>
      </c>
      <c r="C454" s="182" t="s">
        <v>269</v>
      </c>
      <c r="D454" s="182" t="s">
        <v>185</v>
      </c>
      <c r="E454" s="182" t="s">
        <v>539</v>
      </c>
      <c r="F454" s="183"/>
      <c r="G454" s="184">
        <f>G455+G456+G458+G457</f>
        <v>40762437</v>
      </c>
      <c r="H454" s="184">
        <f>H455+H456+H458+H457</f>
        <v>5342200</v>
      </c>
      <c r="I454" s="184">
        <f t="shared" si="26"/>
        <v>46104637</v>
      </c>
      <c r="J454" s="184">
        <f>J455+J456+J458+J457</f>
        <v>35811649</v>
      </c>
      <c r="K454" s="184">
        <f>K455+K456+K458+K457</f>
        <v>5342200</v>
      </c>
      <c r="L454" s="184">
        <f t="shared" si="34"/>
        <v>41153849</v>
      </c>
      <c r="M454" s="184">
        <f>M455+M456+M458+M457</f>
        <v>36287949</v>
      </c>
      <c r="N454" s="184">
        <f>N455+N456+N458+N457</f>
        <v>5342200</v>
      </c>
      <c r="O454" s="184">
        <f t="shared" si="35"/>
        <v>41630149</v>
      </c>
    </row>
    <row r="455" spans="1:15" ht="42.75" customHeight="1">
      <c r="A455" s="192" t="s">
        <v>194</v>
      </c>
      <c r="B455" s="182" t="s">
        <v>801</v>
      </c>
      <c r="C455" s="182" t="s">
        <v>269</v>
      </c>
      <c r="D455" s="182" t="s">
        <v>185</v>
      </c>
      <c r="E455" s="182" t="s">
        <v>539</v>
      </c>
      <c r="F455" s="183" t="s">
        <v>195</v>
      </c>
      <c r="G455" s="184">
        <v>28710800</v>
      </c>
      <c r="H455" s="251"/>
      <c r="I455" s="184">
        <f t="shared" si="26"/>
        <v>28710800</v>
      </c>
      <c r="J455" s="184">
        <v>23760012</v>
      </c>
      <c r="K455" s="251"/>
      <c r="L455" s="184">
        <f t="shared" si="34"/>
        <v>23760012</v>
      </c>
      <c r="M455" s="184">
        <v>24236312</v>
      </c>
      <c r="N455" s="251"/>
      <c r="O455" s="184">
        <f t="shared" si="35"/>
        <v>24236312</v>
      </c>
    </row>
    <row r="456" spans="1:15" ht="27" customHeight="1">
      <c r="A456" s="192" t="s">
        <v>206</v>
      </c>
      <c r="B456" s="182" t="s">
        <v>801</v>
      </c>
      <c r="C456" s="182" t="s">
        <v>269</v>
      </c>
      <c r="D456" s="182" t="s">
        <v>185</v>
      </c>
      <c r="E456" s="182" t="s">
        <v>539</v>
      </c>
      <c r="F456" s="183" t="s">
        <v>207</v>
      </c>
      <c r="G456" s="184">
        <f>524000+1466300+5311800+3233100</f>
        <v>10535200</v>
      </c>
      <c r="H456" s="251">
        <f>4842200+500000</f>
        <v>5342200</v>
      </c>
      <c r="I456" s="184">
        <f t="shared" si="26"/>
        <v>15877400</v>
      </c>
      <c r="J456" s="184">
        <f>524000+1466300+5311800+3233100</f>
        <v>10535200</v>
      </c>
      <c r="K456" s="251">
        <f>4842200+500000</f>
        <v>5342200</v>
      </c>
      <c r="L456" s="184">
        <f t="shared" si="34"/>
        <v>15877400</v>
      </c>
      <c r="M456" s="184">
        <f>524000+1466300+5311800+3233100</f>
        <v>10535200</v>
      </c>
      <c r="N456" s="251">
        <f>4842200+500000</f>
        <v>5342200</v>
      </c>
      <c r="O456" s="184">
        <f t="shared" si="35"/>
        <v>15877400</v>
      </c>
    </row>
    <row r="457" spans="1:15" ht="26.25" customHeight="1" hidden="1">
      <c r="A457" s="199" t="s">
        <v>429</v>
      </c>
      <c r="B457" s="182" t="s">
        <v>801</v>
      </c>
      <c r="C457" s="182" t="s">
        <v>269</v>
      </c>
      <c r="D457" s="182" t="s">
        <v>185</v>
      </c>
      <c r="E457" s="182" t="s">
        <v>539</v>
      </c>
      <c r="F457" s="183" t="s">
        <v>430</v>
      </c>
      <c r="G457" s="184"/>
      <c r="H457" s="251"/>
      <c r="I457" s="184">
        <f t="shared" si="26"/>
        <v>0</v>
      </c>
      <c r="J457" s="184"/>
      <c r="K457" s="251"/>
      <c r="L457" s="184">
        <f t="shared" si="34"/>
        <v>0</v>
      </c>
      <c r="M457" s="184"/>
      <c r="N457" s="251"/>
      <c r="O457" s="184">
        <f t="shared" si="35"/>
        <v>0</v>
      </c>
    </row>
    <row r="458" spans="1:15" ht="20.25" customHeight="1">
      <c r="A458" s="199" t="s">
        <v>274</v>
      </c>
      <c r="B458" s="182" t="s">
        <v>801</v>
      </c>
      <c r="C458" s="182" t="s">
        <v>269</v>
      </c>
      <c r="D458" s="182" t="s">
        <v>185</v>
      </c>
      <c r="E458" s="182" t="s">
        <v>539</v>
      </c>
      <c r="F458" s="183" t="s">
        <v>275</v>
      </c>
      <c r="G458" s="184">
        <f>1514562+1875</f>
        <v>1516437</v>
      </c>
      <c r="H458" s="251"/>
      <c r="I458" s="184">
        <f t="shared" si="26"/>
        <v>1516437</v>
      </c>
      <c r="J458" s="184">
        <f>1514562+1875</f>
        <v>1516437</v>
      </c>
      <c r="K458" s="251"/>
      <c r="L458" s="184">
        <f t="shared" si="34"/>
        <v>1516437</v>
      </c>
      <c r="M458" s="184">
        <f>1514562+1875</f>
        <v>1516437</v>
      </c>
      <c r="N458" s="251"/>
      <c r="O458" s="184">
        <f t="shared" si="35"/>
        <v>1516437</v>
      </c>
    </row>
    <row r="459" spans="1:15" ht="28.5" customHeight="1">
      <c r="A459" s="199" t="s">
        <v>540</v>
      </c>
      <c r="B459" s="182" t="s">
        <v>801</v>
      </c>
      <c r="C459" s="182" t="s">
        <v>269</v>
      </c>
      <c r="D459" s="182" t="s">
        <v>185</v>
      </c>
      <c r="E459" s="182" t="s">
        <v>541</v>
      </c>
      <c r="F459" s="183"/>
      <c r="G459" s="184">
        <f>G460</f>
        <v>5408023</v>
      </c>
      <c r="H459" s="251"/>
      <c r="I459" s="184">
        <f aca="true" t="shared" si="36" ref="I459:I522">G459+H459</f>
        <v>5408023</v>
      </c>
      <c r="J459" s="184">
        <f>J460</f>
        <v>3293511</v>
      </c>
      <c r="K459" s="251"/>
      <c r="L459" s="184">
        <f t="shared" si="34"/>
        <v>3293511</v>
      </c>
      <c r="M459" s="184">
        <f>M460</f>
        <v>3293511</v>
      </c>
      <c r="N459" s="251"/>
      <c r="O459" s="184">
        <f t="shared" si="35"/>
        <v>3293511</v>
      </c>
    </row>
    <row r="460" spans="1:15" ht="38.25">
      <c r="A460" s="199" t="s">
        <v>542</v>
      </c>
      <c r="B460" s="182" t="s">
        <v>801</v>
      </c>
      <c r="C460" s="182" t="s">
        <v>269</v>
      </c>
      <c r="D460" s="182" t="s">
        <v>185</v>
      </c>
      <c r="E460" s="182" t="s">
        <v>543</v>
      </c>
      <c r="F460" s="183"/>
      <c r="G460" s="184">
        <f>G461+G462</f>
        <v>5408023</v>
      </c>
      <c r="H460" s="251"/>
      <c r="I460" s="184">
        <f t="shared" si="36"/>
        <v>5408023</v>
      </c>
      <c r="J460" s="184">
        <f>J461+J462</f>
        <v>3293511</v>
      </c>
      <c r="K460" s="251"/>
      <c r="L460" s="184">
        <f t="shared" si="34"/>
        <v>3293511</v>
      </c>
      <c r="M460" s="184">
        <f>M461+M462</f>
        <v>3293511</v>
      </c>
      <c r="N460" s="251"/>
      <c r="O460" s="184">
        <f t="shared" si="35"/>
        <v>3293511</v>
      </c>
    </row>
    <row r="461" spans="1:19" ht="38.25">
      <c r="A461" s="192" t="s">
        <v>194</v>
      </c>
      <c r="B461" s="182" t="s">
        <v>801</v>
      </c>
      <c r="C461" s="182" t="s">
        <v>269</v>
      </c>
      <c r="D461" s="182" t="s">
        <v>185</v>
      </c>
      <c r="E461" s="182" t="s">
        <v>543</v>
      </c>
      <c r="F461" s="183" t="s">
        <v>195</v>
      </c>
      <c r="G461" s="184">
        <v>3824023</v>
      </c>
      <c r="H461" s="251"/>
      <c r="I461" s="184">
        <f t="shared" si="36"/>
        <v>3824023</v>
      </c>
      <c r="J461" s="184">
        <v>2327271</v>
      </c>
      <c r="K461" s="251"/>
      <c r="L461" s="184">
        <f t="shared" si="34"/>
        <v>2327271</v>
      </c>
      <c r="M461" s="184">
        <v>2327271</v>
      </c>
      <c r="N461" s="251"/>
      <c r="O461" s="184">
        <f t="shared" si="35"/>
        <v>2327271</v>
      </c>
      <c r="S461" s="194"/>
    </row>
    <row r="462" spans="1:15" ht="15">
      <c r="A462" s="223" t="s">
        <v>244</v>
      </c>
      <c r="B462" s="182" t="s">
        <v>801</v>
      </c>
      <c r="C462" s="182" t="s">
        <v>269</v>
      </c>
      <c r="D462" s="182" t="s">
        <v>185</v>
      </c>
      <c r="E462" s="182" t="s">
        <v>543</v>
      </c>
      <c r="F462" s="183" t="s">
        <v>245</v>
      </c>
      <c r="G462" s="184">
        <v>1584000</v>
      </c>
      <c r="H462" s="251"/>
      <c r="I462" s="184">
        <f t="shared" si="36"/>
        <v>1584000</v>
      </c>
      <c r="J462" s="184">
        <v>966240</v>
      </c>
      <c r="K462" s="251"/>
      <c r="L462" s="184">
        <f t="shared" si="34"/>
        <v>966240</v>
      </c>
      <c r="M462" s="184">
        <v>966240</v>
      </c>
      <c r="N462" s="251"/>
      <c r="O462" s="184">
        <f t="shared" si="35"/>
        <v>966240</v>
      </c>
    </row>
    <row r="463" spans="1:15" ht="38.25" hidden="1">
      <c r="A463" s="221" t="s">
        <v>771</v>
      </c>
      <c r="B463" s="182" t="s">
        <v>801</v>
      </c>
      <c r="C463" s="182" t="s">
        <v>269</v>
      </c>
      <c r="D463" s="182" t="s">
        <v>185</v>
      </c>
      <c r="E463" s="207" t="s">
        <v>310</v>
      </c>
      <c r="F463" s="183"/>
      <c r="G463" s="184">
        <f>G464</f>
        <v>0</v>
      </c>
      <c r="H463" s="251"/>
      <c r="I463" s="184">
        <f t="shared" si="36"/>
        <v>0</v>
      </c>
      <c r="J463" s="184">
        <f>J464</f>
        <v>0</v>
      </c>
      <c r="K463" s="251"/>
      <c r="L463" s="184">
        <f t="shared" si="34"/>
        <v>0</v>
      </c>
      <c r="M463" s="184">
        <f>M464</f>
        <v>0</v>
      </c>
      <c r="N463" s="251"/>
      <c r="O463" s="184">
        <f t="shared" si="35"/>
        <v>0</v>
      </c>
    </row>
    <row r="464" spans="1:15" ht="51" hidden="1">
      <c r="A464" s="220" t="s">
        <v>772</v>
      </c>
      <c r="B464" s="182" t="s">
        <v>801</v>
      </c>
      <c r="C464" s="182" t="s">
        <v>269</v>
      </c>
      <c r="D464" s="182" t="s">
        <v>185</v>
      </c>
      <c r="E464" s="207" t="s">
        <v>773</v>
      </c>
      <c r="F464" s="183"/>
      <c r="G464" s="184">
        <f>G465</f>
        <v>0</v>
      </c>
      <c r="H464" s="251"/>
      <c r="I464" s="184">
        <f t="shared" si="36"/>
        <v>0</v>
      </c>
      <c r="J464" s="184">
        <f>J465</f>
        <v>0</v>
      </c>
      <c r="K464" s="251"/>
      <c r="L464" s="184">
        <f t="shared" si="34"/>
        <v>0</v>
      </c>
      <c r="M464" s="184">
        <f>M465</f>
        <v>0</v>
      </c>
      <c r="N464" s="251"/>
      <c r="O464" s="184">
        <f t="shared" si="35"/>
        <v>0</v>
      </c>
    </row>
    <row r="465" spans="1:15" ht="15" hidden="1">
      <c r="A465" s="199" t="s">
        <v>313</v>
      </c>
      <c r="B465" s="182" t="s">
        <v>801</v>
      </c>
      <c r="C465" s="182" t="s">
        <v>269</v>
      </c>
      <c r="D465" s="182" t="s">
        <v>185</v>
      </c>
      <c r="E465" s="204" t="s">
        <v>314</v>
      </c>
      <c r="F465" s="183"/>
      <c r="G465" s="184">
        <f>G466</f>
        <v>0</v>
      </c>
      <c r="H465" s="251"/>
      <c r="I465" s="184">
        <f t="shared" si="36"/>
        <v>0</v>
      </c>
      <c r="J465" s="184">
        <f>J466</f>
        <v>0</v>
      </c>
      <c r="K465" s="251"/>
      <c r="L465" s="184">
        <f t="shared" si="34"/>
        <v>0</v>
      </c>
      <c r="M465" s="184">
        <f>M466</f>
        <v>0</v>
      </c>
      <c r="N465" s="251"/>
      <c r="O465" s="184">
        <f t="shared" si="35"/>
        <v>0</v>
      </c>
    </row>
    <row r="466" spans="1:15" ht="15" hidden="1">
      <c r="A466" s="200" t="s">
        <v>315</v>
      </c>
      <c r="B466" s="182" t="s">
        <v>801</v>
      </c>
      <c r="C466" s="182" t="s">
        <v>269</v>
      </c>
      <c r="D466" s="182" t="s">
        <v>185</v>
      </c>
      <c r="E466" s="204" t="s">
        <v>316</v>
      </c>
      <c r="F466" s="183"/>
      <c r="G466" s="184">
        <f>G467</f>
        <v>0</v>
      </c>
      <c r="H466" s="251"/>
      <c r="I466" s="184">
        <f t="shared" si="36"/>
        <v>0</v>
      </c>
      <c r="J466" s="184">
        <f>J467</f>
        <v>0</v>
      </c>
      <c r="K466" s="251"/>
      <c r="L466" s="184">
        <f t="shared" si="34"/>
        <v>0</v>
      </c>
      <c r="M466" s="184">
        <f>M467</f>
        <v>0</v>
      </c>
      <c r="N466" s="251"/>
      <c r="O466" s="184">
        <f t="shared" si="35"/>
        <v>0</v>
      </c>
    </row>
    <row r="467" spans="1:15" ht="25.5" hidden="1">
      <c r="A467" s="192" t="s">
        <v>206</v>
      </c>
      <c r="B467" s="182" t="s">
        <v>801</v>
      </c>
      <c r="C467" s="182" t="s">
        <v>269</v>
      </c>
      <c r="D467" s="182" t="s">
        <v>185</v>
      </c>
      <c r="E467" s="204" t="s">
        <v>316</v>
      </c>
      <c r="F467" s="183" t="s">
        <v>207</v>
      </c>
      <c r="G467" s="184"/>
      <c r="H467" s="251"/>
      <c r="I467" s="184">
        <f t="shared" si="36"/>
        <v>0</v>
      </c>
      <c r="J467" s="184"/>
      <c r="K467" s="251"/>
      <c r="L467" s="184">
        <f t="shared" si="34"/>
        <v>0</v>
      </c>
      <c r="M467" s="184"/>
      <c r="N467" s="251"/>
      <c r="O467" s="184">
        <f t="shared" si="35"/>
        <v>0</v>
      </c>
    </row>
    <row r="468" spans="1:19" ht="15">
      <c r="A468" s="199" t="s">
        <v>544</v>
      </c>
      <c r="B468" s="182" t="s">
        <v>801</v>
      </c>
      <c r="C468" s="182" t="s">
        <v>269</v>
      </c>
      <c r="D468" s="182" t="s">
        <v>187</v>
      </c>
      <c r="E468" s="182"/>
      <c r="F468" s="183"/>
      <c r="G468" s="184">
        <f>G469+G529+G537+G542</f>
        <v>383292249</v>
      </c>
      <c r="H468" s="184">
        <f>H469+H529+H537+H542</f>
        <v>4000000</v>
      </c>
      <c r="I468" s="184">
        <f t="shared" si="36"/>
        <v>387292249</v>
      </c>
      <c r="J468" s="184">
        <f>J469+J529+J537+J542</f>
        <v>482511925</v>
      </c>
      <c r="K468" s="184">
        <f>K469+K529+K537+K542</f>
        <v>4000000</v>
      </c>
      <c r="L468" s="184">
        <f t="shared" si="34"/>
        <v>486511925</v>
      </c>
      <c r="M468" s="184">
        <f>M469+M529+M537+M542</f>
        <v>511578713</v>
      </c>
      <c r="N468" s="184">
        <f>N469+N529+N537+N542</f>
        <v>4000000</v>
      </c>
      <c r="O468" s="184">
        <f t="shared" si="35"/>
        <v>515578713</v>
      </c>
      <c r="Q468" s="194"/>
      <c r="R468" s="194"/>
      <c r="S468" s="194"/>
    </row>
    <row r="469" spans="1:15" ht="25.5">
      <c r="A469" s="199" t="s">
        <v>301</v>
      </c>
      <c r="B469" s="182" t="s">
        <v>801</v>
      </c>
      <c r="C469" s="182" t="s">
        <v>269</v>
      </c>
      <c r="D469" s="182" t="s">
        <v>187</v>
      </c>
      <c r="E469" s="182" t="s">
        <v>302</v>
      </c>
      <c r="F469" s="183"/>
      <c r="G469" s="184">
        <f>G470+G525</f>
        <v>383201849</v>
      </c>
      <c r="H469" s="184">
        <f>H470</f>
        <v>4000000</v>
      </c>
      <c r="I469" s="184">
        <f t="shared" si="36"/>
        <v>387201849</v>
      </c>
      <c r="J469" s="184">
        <f>J470</f>
        <v>482421525</v>
      </c>
      <c r="K469" s="184">
        <f>K470</f>
        <v>4000000</v>
      </c>
      <c r="L469" s="184">
        <f t="shared" si="34"/>
        <v>486421525</v>
      </c>
      <c r="M469" s="184">
        <f>M470</f>
        <v>511488313</v>
      </c>
      <c r="N469" s="184">
        <f>N470</f>
        <v>4000000</v>
      </c>
      <c r="O469" s="184">
        <f t="shared" si="35"/>
        <v>515488313</v>
      </c>
    </row>
    <row r="470" spans="1:15" ht="38.25">
      <c r="A470" s="222" t="s">
        <v>529</v>
      </c>
      <c r="B470" s="182" t="s">
        <v>801</v>
      </c>
      <c r="C470" s="182" t="s">
        <v>269</v>
      </c>
      <c r="D470" s="182" t="s">
        <v>187</v>
      </c>
      <c r="E470" s="182" t="s">
        <v>530</v>
      </c>
      <c r="F470" s="183"/>
      <c r="G470" s="184">
        <f>G482+G477+G471+G474+G480</f>
        <v>377081849</v>
      </c>
      <c r="H470" s="184">
        <f aca="true" t="shared" si="37" ref="H470:N470">H482+H477+H471+H474+H480</f>
        <v>4000000</v>
      </c>
      <c r="I470" s="184">
        <f t="shared" si="36"/>
        <v>381081849</v>
      </c>
      <c r="J470" s="184">
        <f t="shared" si="37"/>
        <v>482421525</v>
      </c>
      <c r="K470" s="184">
        <f t="shared" si="37"/>
        <v>4000000</v>
      </c>
      <c r="L470" s="184">
        <f t="shared" si="37"/>
        <v>486421525</v>
      </c>
      <c r="M470" s="184">
        <f t="shared" si="37"/>
        <v>511488313</v>
      </c>
      <c r="N470" s="184">
        <f t="shared" si="37"/>
        <v>4000000</v>
      </c>
      <c r="O470" s="184">
        <f t="shared" si="35"/>
        <v>515488313</v>
      </c>
    </row>
    <row r="471" spans="1:15" ht="15" hidden="1">
      <c r="A471" s="199" t="s">
        <v>545</v>
      </c>
      <c r="B471" s="182" t="s">
        <v>801</v>
      </c>
      <c r="C471" s="182" t="s">
        <v>269</v>
      </c>
      <c r="D471" s="182" t="s">
        <v>187</v>
      </c>
      <c r="E471" s="182" t="s">
        <v>546</v>
      </c>
      <c r="F471" s="183"/>
      <c r="G471" s="184">
        <f>G472</f>
        <v>0</v>
      </c>
      <c r="H471" s="184"/>
      <c r="I471" s="184">
        <f t="shared" si="36"/>
        <v>0</v>
      </c>
      <c r="J471" s="184">
        <f>J472</f>
        <v>0</v>
      </c>
      <c r="K471" s="184"/>
      <c r="L471" s="184">
        <f t="shared" si="34"/>
        <v>0</v>
      </c>
      <c r="M471" s="184">
        <f>M472</f>
        <v>0</v>
      </c>
      <c r="N471" s="184"/>
      <c r="O471" s="184">
        <f t="shared" si="35"/>
        <v>0</v>
      </c>
    </row>
    <row r="472" spans="1:15" ht="82.5" customHeight="1" hidden="1">
      <c r="A472" s="224" t="s">
        <v>547</v>
      </c>
      <c r="B472" s="182" t="s">
        <v>801</v>
      </c>
      <c r="C472" s="182" t="s">
        <v>269</v>
      </c>
      <c r="D472" s="182" t="s">
        <v>187</v>
      </c>
      <c r="E472" s="182" t="s">
        <v>548</v>
      </c>
      <c r="F472" s="183"/>
      <c r="G472" s="184">
        <f>G473</f>
        <v>0</v>
      </c>
      <c r="H472" s="184"/>
      <c r="I472" s="184">
        <f t="shared" si="36"/>
        <v>0</v>
      </c>
      <c r="J472" s="184">
        <f>J473</f>
        <v>0</v>
      </c>
      <c r="K472" s="184"/>
      <c r="L472" s="184">
        <f t="shared" si="34"/>
        <v>0</v>
      </c>
      <c r="M472" s="184">
        <f>M473</f>
        <v>0</v>
      </c>
      <c r="N472" s="184"/>
      <c r="O472" s="184">
        <f t="shared" si="35"/>
        <v>0</v>
      </c>
    </row>
    <row r="473" spans="1:15" ht="19.5" customHeight="1" hidden="1">
      <c r="A473" s="192" t="s">
        <v>206</v>
      </c>
      <c r="B473" s="182" t="s">
        <v>801</v>
      </c>
      <c r="C473" s="182" t="s">
        <v>269</v>
      </c>
      <c r="D473" s="182" t="s">
        <v>187</v>
      </c>
      <c r="E473" s="182" t="s">
        <v>548</v>
      </c>
      <c r="F473" s="183" t="s">
        <v>207</v>
      </c>
      <c r="G473" s="184"/>
      <c r="H473" s="184"/>
      <c r="I473" s="184">
        <f t="shared" si="36"/>
        <v>0</v>
      </c>
      <c r="J473" s="184"/>
      <c r="K473" s="184"/>
      <c r="L473" s="184">
        <f t="shared" si="34"/>
        <v>0</v>
      </c>
      <c r="M473" s="184"/>
      <c r="N473" s="184"/>
      <c r="O473" s="184">
        <f t="shared" si="35"/>
        <v>0</v>
      </c>
    </row>
    <row r="474" spans="1:15" ht="19.5" customHeight="1">
      <c r="A474" s="199" t="s">
        <v>549</v>
      </c>
      <c r="B474" s="182" t="s">
        <v>801</v>
      </c>
      <c r="C474" s="182" t="s">
        <v>269</v>
      </c>
      <c r="D474" s="182" t="s">
        <v>187</v>
      </c>
      <c r="E474" s="182" t="s">
        <v>550</v>
      </c>
      <c r="F474" s="225"/>
      <c r="G474" s="184">
        <f>G475</f>
        <v>1334124</v>
      </c>
      <c r="H474" s="184"/>
      <c r="I474" s="184">
        <f t="shared" si="36"/>
        <v>1334124</v>
      </c>
      <c r="J474" s="184">
        <f>J475</f>
        <v>0</v>
      </c>
      <c r="K474" s="184"/>
      <c r="L474" s="184">
        <f t="shared" si="34"/>
        <v>0</v>
      </c>
      <c r="M474" s="184">
        <f>M475</f>
        <v>0</v>
      </c>
      <c r="N474" s="184"/>
      <c r="O474" s="184">
        <f t="shared" si="35"/>
        <v>0</v>
      </c>
    </row>
    <row r="475" spans="1:15" ht="41.25" customHeight="1">
      <c r="A475" s="199" t="s">
        <v>551</v>
      </c>
      <c r="B475" s="182" t="s">
        <v>801</v>
      </c>
      <c r="C475" s="182" t="s">
        <v>269</v>
      </c>
      <c r="D475" s="182" t="s">
        <v>187</v>
      </c>
      <c r="E475" s="182" t="s">
        <v>552</v>
      </c>
      <c r="F475" s="225"/>
      <c r="G475" s="184">
        <f>G476</f>
        <v>1334124</v>
      </c>
      <c r="H475" s="184"/>
      <c r="I475" s="184">
        <f t="shared" si="36"/>
        <v>1334124</v>
      </c>
      <c r="J475" s="184">
        <f>J476</f>
        <v>0</v>
      </c>
      <c r="K475" s="184"/>
      <c r="L475" s="184">
        <f t="shared" si="34"/>
        <v>0</v>
      </c>
      <c r="M475" s="184">
        <f>M476</f>
        <v>0</v>
      </c>
      <c r="N475" s="184"/>
      <c r="O475" s="184">
        <f t="shared" si="35"/>
        <v>0</v>
      </c>
    </row>
    <row r="476" spans="1:15" ht="29.25" customHeight="1">
      <c r="A476" s="192" t="s">
        <v>206</v>
      </c>
      <c r="B476" s="182" t="s">
        <v>801</v>
      </c>
      <c r="C476" s="182" t="s">
        <v>269</v>
      </c>
      <c r="D476" s="182" t="s">
        <v>187</v>
      </c>
      <c r="E476" s="182" t="s">
        <v>552</v>
      </c>
      <c r="F476" s="183" t="s">
        <v>207</v>
      </c>
      <c r="G476" s="184">
        <f>867180+466944</f>
        <v>1334124</v>
      </c>
      <c r="H476" s="184"/>
      <c r="I476" s="184">
        <f t="shared" si="36"/>
        <v>1334124</v>
      </c>
      <c r="J476" s="184"/>
      <c r="K476" s="184"/>
      <c r="L476" s="184">
        <f t="shared" si="34"/>
        <v>0</v>
      </c>
      <c r="M476" s="184"/>
      <c r="N476" s="184"/>
      <c r="O476" s="184">
        <f t="shared" si="35"/>
        <v>0</v>
      </c>
    </row>
    <row r="477" spans="1:15" ht="18" customHeight="1" hidden="1">
      <c r="A477" s="199" t="s">
        <v>553</v>
      </c>
      <c r="B477" s="182" t="s">
        <v>801</v>
      </c>
      <c r="C477" s="182" t="s">
        <v>269</v>
      </c>
      <c r="D477" s="182" t="s">
        <v>187</v>
      </c>
      <c r="E477" s="182" t="s">
        <v>554</v>
      </c>
      <c r="F477" s="183"/>
      <c r="G477" s="184">
        <f>G478</f>
        <v>0</v>
      </c>
      <c r="H477" s="184"/>
      <c r="I477" s="184">
        <f t="shared" si="36"/>
        <v>0</v>
      </c>
      <c r="J477" s="184">
        <f>J478</f>
        <v>0</v>
      </c>
      <c r="K477" s="184"/>
      <c r="L477" s="184">
        <f t="shared" si="34"/>
        <v>0</v>
      </c>
      <c r="M477" s="184">
        <f>M478</f>
        <v>0</v>
      </c>
      <c r="N477" s="184"/>
      <c r="O477" s="184">
        <f t="shared" si="35"/>
        <v>0</v>
      </c>
    </row>
    <row r="478" spans="1:15" ht="54.75" customHeight="1" hidden="1">
      <c r="A478" s="200" t="s">
        <v>555</v>
      </c>
      <c r="B478" s="182" t="s">
        <v>801</v>
      </c>
      <c r="C478" s="182" t="s">
        <v>269</v>
      </c>
      <c r="D478" s="182" t="s">
        <v>187</v>
      </c>
      <c r="E478" s="204" t="s">
        <v>556</v>
      </c>
      <c r="F478" s="183"/>
      <c r="G478" s="184">
        <f>G479</f>
        <v>0</v>
      </c>
      <c r="H478" s="184"/>
      <c r="I478" s="184">
        <f t="shared" si="36"/>
        <v>0</v>
      </c>
      <c r="J478" s="184">
        <f>J479</f>
        <v>0</v>
      </c>
      <c r="K478" s="184"/>
      <c r="L478" s="184">
        <f t="shared" si="34"/>
        <v>0</v>
      </c>
      <c r="M478" s="184">
        <f>M479</f>
        <v>0</v>
      </c>
      <c r="N478" s="184"/>
      <c r="O478" s="184">
        <f t="shared" si="35"/>
        <v>0</v>
      </c>
    </row>
    <row r="479" spans="1:15" ht="19.5" customHeight="1" hidden="1">
      <c r="A479" s="192" t="s">
        <v>206</v>
      </c>
      <c r="B479" s="182" t="s">
        <v>801</v>
      </c>
      <c r="C479" s="182" t="s">
        <v>269</v>
      </c>
      <c r="D479" s="182" t="s">
        <v>187</v>
      </c>
      <c r="E479" s="204" t="s">
        <v>556</v>
      </c>
      <c r="F479" s="183" t="s">
        <v>207</v>
      </c>
      <c r="G479" s="184"/>
      <c r="H479" s="184"/>
      <c r="I479" s="184">
        <f t="shared" si="36"/>
        <v>0</v>
      </c>
      <c r="J479" s="184">
        <v>0</v>
      </c>
      <c r="K479" s="184"/>
      <c r="L479" s="184">
        <f t="shared" si="34"/>
        <v>0</v>
      </c>
      <c r="M479" s="184">
        <v>0</v>
      </c>
      <c r="N479" s="184"/>
      <c r="O479" s="184">
        <f t="shared" si="35"/>
        <v>0</v>
      </c>
    </row>
    <row r="480" spans="1:15" ht="49.5" customHeight="1">
      <c r="A480" s="199" t="s">
        <v>557</v>
      </c>
      <c r="B480" s="182" t="s">
        <v>801</v>
      </c>
      <c r="C480" s="182" t="s">
        <v>269</v>
      </c>
      <c r="D480" s="182" t="s">
        <v>187</v>
      </c>
      <c r="E480" s="182" t="s">
        <v>558</v>
      </c>
      <c r="F480" s="183"/>
      <c r="G480" s="184">
        <f>G481</f>
        <v>2781472</v>
      </c>
      <c r="H480" s="184"/>
      <c r="I480" s="184">
        <f t="shared" si="36"/>
        <v>2781472</v>
      </c>
      <c r="J480" s="184">
        <f>J481</f>
        <v>2781472</v>
      </c>
      <c r="K480" s="184"/>
      <c r="L480" s="184">
        <f t="shared" si="34"/>
        <v>2781472</v>
      </c>
      <c r="M480" s="184">
        <f>M481</f>
        <v>3359781</v>
      </c>
      <c r="N480" s="184"/>
      <c r="O480" s="184">
        <f>M480+N480</f>
        <v>3359781</v>
      </c>
    </row>
    <row r="481" spans="1:19" ht="40.5" customHeight="1">
      <c r="A481" s="192" t="s">
        <v>194</v>
      </c>
      <c r="B481" s="182" t="s">
        <v>801</v>
      </c>
      <c r="C481" s="182" t="s">
        <v>269</v>
      </c>
      <c r="D481" s="182" t="s">
        <v>187</v>
      </c>
      <c r="E481" s="182" t="s">
        <v>558</v>
      </c>
      <c r="F481" s="183" t="s">
        <v>195</v>
      </c>
      <c r="G481" s="184">
        <f>2725843+55629</f>
        <v>2781472</v>
      </c>
      <c r="H481" s="184"/>
      <c r="I481" s="184">
        <f t="shared" si="36"/>
        <v>2781472</v>
      </c>
      <c r="J481" s="184">
        <f>2725843+55629</f>
        <v>2781472</v>
      </c>
      <c r="K481" s="184"/>
      <c r="L481" s="184">
        <f t="shared" si="34"/>
        <v>2781472</v>
      </c>
      <c r="M481" s="184">
        <f>3292585+67196</f>
        <v>3359781</v>
      </c>
      <c r="N481" s="184"/>
      <c r="O481" s="184">
        <f>M481+N481</f>
        <v>3359781</v>
      </c>
      <c r="R481" s="194"/>
      <c r="S481" s="194"/>
    </row>
    <row r="482" spans="1:19" ht="30.75" customHeight="1">
      <c r="A482" s="199" t="s">
        <v>559</v>
      </c>
      <c r="B482" s="182" t="s">
        <v>801</v>
      </c>
      <c r="C482" s="182" t="s">
        <v>269</v>
      </c>
      <c r="D482" s="182" t="s">
        <v>187</v>
      </c>
      <c r="E482" s="182" t="s">
        <v>560</v>
      </c>
      <c r="F482" s="183"/>
      <c r="G482" s="184">
        <f>G493+G500+G502+G504+G506+G509+G513+G496+G498+G515+G483+G487+G489+G491+G485</f>
        <v>372966253</v>
      </c>
      <c r="H482" s="184">
        <f aca="true" t="shared" si="38" ref="H482:N482">H493+H500+H502+H504+H506+H509+H513+H496+H498+H515+H483+H487+H489+H491</f>
        <v>4000000</v>
      </c>
      <c r="I482" s="184">
        <f t="shared" si="36"/>
        <v>376966253</v>
      </c>
      <c r="J482" s="184">
        <f>J493+J500+J502+J504+J506+J509+J513+J496+J498+J515+J483+J487+J489+J491+J485</f>
        <v>479640053</v>
      </c>
      <c r="K482" s="184">
        <f t="shared" si="38"/>
        <v>4000000</v>
      </c>
      <c r="L482" s="184">
        <f t="shared" si="34"/>
        <v>483640053</v>
      </c>
      <c r="M482" s="184">
        <f>M493+M500+M502+M504+M506+M509+M513+M496+M498+M515+M483+M487+M489+M491+M485</f>
        <v>508128532</v>
      </c>
      <c r="N482" s="184">
        <f t="shared" si="38"/>
        <v>4000000</v>
      </c>
      <c r="O482" s="184">
        <f>M482+N482</f>
        <v>512128532</v>
      </c>
      <c r="Q482" s="174"/>
      <c r="R482" s="174"/>
      <c r="S482" s="174"/>
    </row>
    <row r="483" spans="1:15" ht="42.75" customHeight="1">
      <c r="A483" s="200" t="s">
        <v>561</v>
      </c>
      <c r="B483" s="182" t="s">
        <v>801</v>
      </c>
      <c r="C483" s="182" t="s">
        <v>269</v>
      </c>
      <c r="D483" s="182" t="s">
        <v>187</v>
      </c>
      <c r="E483" s="182" t="s">
        <v>562</v>
      </c>
      <c r="F483" s="183"/>
      <c r="G483" s="184">
        <f>G484</f>
        <v>8350726</v>
      </c>
      <c r="H483" s="184"/>
      <c r="I483" s="184">
        <f t="shared" si="36"/>
        <v>8350726</v>
      </c>
      <c r="J483" s="184">
        <f>J484</f>
        <v>7927843</v>
      </c>
      <c r="K483" s="184"/>
      <c r="L483" s="184">
        <f t="shared" si="34"/>
        <v>7927843</v>
      </c>
      <c r="M483" s="184">
        <f>M484</f>
        <v>7708038</v>
      </c>
      <c r="N483" s="184"/>
      <c r="O483" s="184">
        <f t="shared" si="35"/>
        <v>7708038</v>
      </c>
    </row>
    <row r="484" spans="1:15" ht="33.75" customHeight="1">
      <c r="A484" s="192" t="s">
        <v>206</v>
      </c>
      <c r="B484" s="182" t="s">
        <v>801</v>
      </c>
      <c r="C484" s="182" t="s">
        <v>269</v>
      </c>
      <c r="D484" s="182" t="s">
        <v>187</v>
      </c>
      <c r="E484" s="182" t="s">
        <v>562</v>
      </c>
      <c r="F484" s="183" t="s">
        <v>207</v>
      </c>
      <c r="G484" s="184">
        <f>7265132+1085594</f>
        <v>8350726</v>
      </c>
      <c r="H484" s="184"/>
      <c r="I484" s="184">
        <f t="shared" si="36"/>
        <v>8350726</v>
      </c>
      <c r="J484" s="184">
        <f>6897223+1030620</f>
        <v>7927843</v>
      </c>
      <c r="K484" s="184"/>
      <c r="L484" s="184">
        <f t="shared" si="34"/>
        <v>7927843</v>
      </c>
      <c r="M484" s="184">
        <f>6705993+1002045</f>
        <v>7708038</v>
      </c>
      <c r="N484" s="184"/>
      <c r="O484" s="184">
        <f t="shared" si="35"/>
        <v>7708038</v>
      </c>
    </row>
    <row r="485" spans="1:15" ht="18.75" customHeight="1">
      <c r="A485" s="192" t="s">
        <v>563</v>
      </c>
      <c r="B485" s="182" t="s">
        <v>801</v>
      </c>
      <c r="C485" s="182" t="s">
        <v>269</v>
      </c>
      <c r="D485" s="182" t="s">
        <v>187</v>
      </c>
      <c r="E485" s="182" t="s">
        <v>564</v>
      </c>
      <c r="F485" s="183"/>
      <c r="G485" s="184">
        <f>G486</f>
        <v>0</v>
      </c>
      <c r="H485" s="184"/>
      <c r="I485" s="184">
        <f t="shared" si="36"/>
        <v>0</v>
      </c>
      <c r="J485" s="184">
        <f>J486</f>
        <v>130086794</v>
      </c>
      <c r="K485" s="184"/>
      <c r="L485" s="184">
        <f t="shared" si="34"/>
        <v>130086794</v>
      </c>
      <c r="M485" s="184">
        <f>M486</f>
        <v>174748342</v>
      </c>
      <c r="N485" s="184"/>
      <c r="O485" s="184">
        <f t="shared" si="35"/>
        <v>174748342</v>
      </c>
    </row>
    <row r="486" spans="1:15" ht="30.75" customHeight="1">
      <c r="A486" s="192" t="s">
        <v>206</v>
      </c>
      <c r="B486" s="182" t="s">
        <v>801</v>
      </c>
      <c r="C486" s="182" t="s">
        <v>269</v>
      </c>
      <c r="D486" s="182" t="s">
        <v>187</v>
      </c>
      <c r="E486" s="182" t="s">
        <v>564</v>
      </c>
      <c r="F486" s="183" t="s">
        <v>207</v>
      </c>
      <c r="G486" s="184"/>
      <c r="H486" s="184"/>
      <c r="I486" s="184">
        <f t="shared" si="36"/>
        <v>0</v>
      </c>
      <c r="J486" s="184">
        <f>127485059+2601735</f>
        <v>130086794</v>
      </c>
      <c r="K486" s="184"/>
      <c r="L486" s="184">
        <f t="shared" si="34"/>
        <v>130086794</v>
      </c>
      <c r="M486" s="184">
        <f>171253375+3494967</f>
        <v>174748342</v>
      </c>
      <c r="N486" s="184"/>
      <c r="O486" s="184">
        <f t="shared" si="35"/>
        <v>174748342</v>
      </c>
    </row>
    <row r="487" spans="1:15" ht="68.25" customHeight="1">
      <c r="A487" s="199" t="s">
        <v>565</v>
      </c>
      <c r="B487" s="182" t="s">
        <v>801</v>
      </c>
      <c r="C487" s="182" t="s">
        <v>269</v>
      </c>
      <c r="D487" s="182" t="s">
        <v>187</v>
      </c>
      <c r="E487" s="182" t="s">
        <v>566</v>
      </c>
      <c r="F487" s="183"/>
      <c r="G487" s="184">
        <f>G488</f>
        <v>16327080</v>
      </c>
      <c r="H487" s="184"/>
      <c r="I487" s="184">
        <f t="shared" si="36"/>
        <v>16327080</v>
      </c>
      <c r="J487" s="184">
        <f>J488</f>
        <v>16327080</v>
      </c>
      <c r="K487" s="184"/>
      <c r="L487" s="184">
        <f t="shared" si="34"/>
        <v>16327080</v>
      </c>
      <c r="M487" s="184">
        <f>M488</f>
        <v>16327080</v>
      </c>
      <c r="N487" s="184"/>
      <c r="O487" s="184">
        <f t="shared" si="35"/>
        <v>16327080</v>
      </c>
    </row>
    <row r="488" spans="1:15" ht="43.5" customHeight="1">
      <c r="A488" s="192" t="s">
        <v>194</v>
      </c>
      <c r="B488" s="182" t="s">
        <v>801</v>
      </c>
      <c r="C488" s="182" t="s">
        <v>269</v>
      </c>
      <c r="D488" s="182" t="s">
        <v>187</v>
      </c>
      <c r="E488" s="182" t="s">
        <v>566</v>
      </c>
      <c r="F488" s="183" t="s">
        <v>195</v>
      </c>
      <c r="G488" s="184">
        <v>16327080</v>
      </c>
      <c r="H488" s="184"/>
      <c r="I488" s="184">
        <f t="shared" si="36"/>
        <v>16327080</v>
      </c>
      <c r="J488" s="184">
        <v>16327080</v>
      </c>
      <c r="K488" s="184"/>
      <c r="L488" s="184">
        <f t="shared" si="34"/>
        <v>16327080</v>
      </c>
      <c r="M488" s="184">
        <v>16327080</v>
      </c>
      <c r="N488" s="184"/>
      <c r="O488" s="184">
        <f t="shared" si="35"/>
        <v>16327080</v>
      </c>
    </row>
    <row r="489" spans="1:15" ht="38.25" hidden="1">
      <c r="A489" s="200" t="s">
        <v>567</v>
      </c>
      <c r="B489" s="182" t="s">
        <v>801</v>
      </c>
      <c r="C489" s="182" t="s">
        <v>269</v>
      </c>
      <c r="D489" s="182" t="s">
        <v>187</v>
      </c>
      <c r="E489" s="182" t="s">
        <v>568</v>
      </c>
      <c r="F489" s="183"/>
      <c r="G489" s="184">
        <f>G490</f>
        <v>0</v>
      </c>
      <c r="H489" s="184"/>
      <c r="I489" s="184">
        <f t="shared" si="36"/>
        <v>0</v>
      </c>
      <c r="J489" s="184">
        <f>J490</f>
        <v>0</v>
      </c>
      <c r="K489" s="184"/>
      <c r="L489" s="184">
        <f t="shared" si="34"/>
        <v>0</v>
      </c>
      <c r="M489" s="184">
        <f>M490</f>
        <v>0</v>
      </c>
      <c r="N489" s="184"/>
      <c r="O489" s="184">
        <f t="shared" si="35"/>
        <v>0</v>
      </c>
    </row>
    <row r="490" spans="1:15" ht="25.5" hidden="1">
      <c r="A490" s="192" t="s">
        <v>206</v>
      </c>
      <c r="B490" s="182" t="s">
        <v>801</v>
      </c>
      <c r="C490" s="182" t="s">
        <v>269</v>
      </c>
      <c r="D490" s="182" t="s">
        <v>187</v>
      </c>
      <c r="E490" s="182" t="s">
        <v>568</v>
      </c>
      <c r="F490" s="183" t="s">
        <v>207</v>
      </c>
      <c r="G490" s="184"/>
      <c r="H490" s="184"/>
      <c r="I490" s="184">
        <f t="shared" si="36"/>
        <v>0</v>
      </c>
      <c r="J490" s="184"/>
      <c r="K490" s="184"/>
      <c r="L490" s="184">
        <f t="shared" si="34"/>
        <v>0</v>
      </c>
      <c r="M490" s="184"/>
      <c r="N490" s="184"/>
      <c r="O490" s="184">
        <f t="shared" si="35"/>
        <v>0</v>
      </c>
    </row>
    <row r="491" spans="1:15" ht="25.5" hidden="1">
      <c r="A491" s="200" t="s">
        <v>569</v>
      </c>
      <c r="B491" s="182" t="s">
        <v>801</v>
      </c>
      <c r="C491" s="182" t="s">
        <v>269</v>
      </c>
      <c r="D491" s="182" t="s">
        <v>187</v>
      </c>
      <c r="E491" s="182" t="s">
        <v>570</v>
      </c>
      <c r="F491" s="183"/>
      <c r="G491" s="184">
        <f>G492</f>
        <v>0</v>
      </c>
      <c r="H491" s="184"/>
      <c r="I491" s="184">
        <f t="shared" si="36"/>
        <v>0</v>
      </c>
      <c r="J491" s="184">
        <f>J492</f>
        <v>0</v>
      </c>
      <c r="K491" s="184"/>
      <c r="L491" s="184">
        <f t="shared" si="34"/>
        <v>0</v>
      </c>
      <c r="M491" s="184">
        <f>M492</f>
        <v>0</v>
      </c>
      <c r="N491" s="184"/>
      <c r="O491" s="184">
        <f t="shared" si="35"/>
        <v>0</v>
      </c>
    </row>
    <row r="492" spans="1:15" ht="25.5" hidden="1">
      <c r="A492" s="192" t="s">
        <v>206</v>
      </c>
      <c r="B492" s="182" t="s">
        <v>801</v>
      </c>
      <c r="C492" s="182" t="s">
        <v>269</v>
      </c>
      <c r="D492" s="182" t="s">
        <v>187</v>
      </c>
      <c r="E492" s="182" t="s">
        <v>570</v>
      </c>
      <c r="F492" s="183" t="s">
        <v>207</v>
      </c>
      <c r="G492" s="184"/>
      <c r="H492" s="184"/>
      <c r="I492" s="184">
        <f t="shared" si="36"/>
        <v>0</v>
      </c>
      <c r="J492" s="184"/>
      <c r="K492" s="184"/>
      <c r="L492" s="184">
        <f t="shared" si="34"/>
        <v>0</v>
      </c>
      <c r="M492" s="184"/>
      <c r="N492" s="184"/>
      <c r="O492" s="184">
        <f t="shared" si="35"/>
        <v>0</v>
      </c>
    </row>
    <row r="493" spans="1:19" ht="66.75" customHeight="1">
      <c r="A493" s="200" t="s">
        <v>571</v>
      </c>
      <c r="B493" s="182" t="s">
        <v>801</v>
      </c>
      <c r="C493" s="182" t="s">
        <v>269</v>
      </c>
      <c r="D493" s="182" t="s">
        <v>187</v>
      </c>
      <c r="E493" s="182" t="s">
        <v>572</v>
      </c>
      <c r="F493" s="183"/>
      <c r="G493" s="184">
        <f>G494+G495</f>
        <v>293383485</v>
      </c>
      <c r="H493" s="251"/>
      <c r="I493" s="184">
        <f t="shared" si="36"/>
        <v>293383485</v>
      </c>
      <c r="J493" s="184">
        <f>J494+J495</f>
        <v>278439843</v>
      </c>
      <c r="K493" s="251"/>
      <c r="L493" s="184">
        <f t="shared" si="34"/>
        <v>278439843</v>
      </c>
      <c r="M493" s="184">
        <f>M494+M495</f>
        <v>262486579</v>
      </c>
      <c r="N493" s="251"/>
      <c r="O493" s="184">
        <f t="shared" si="35"/>
        <v>262486579</v>
      </c>
      <c r="Q493" s="194"/>
      <c r="R493" s="194"/>
      <c r="S493" s="194"/>
    </row>
    <row r="494" spans="1:15" ht="42.75" customHeight="1">
      <c r="A494" s="192" t="s">
        <v>194</v>
      </c>
      <c r="B494" s="182" t="s">
        <v>801</v>
      </c>
      <c r="C494" s="182" t="s">
        <v>269</v>
      </c>
      <c r="D494" s="182" t="s">
        <v>187</v>
      </c>
      <c r="E494" s="182" t="s">
        <v>572</v>
      </c>
      <c r="F494" s="183" t="s">
        <v>195</v>
      </c>
      <c r="G494" s="184">
        <f>220508900+66382289</f>
        <v>286891189</v>
      </c>
      <c r="H494" s="251"/>
      <c r="I494" s="184">
        <f t="shared" si="36"/>
        <v>286891189</v>
      </c>
      <c r="J494" s="184">
        <f>209031500+62916047</f>
        <v>271947547</v>
      </c>
      <c r="K494" s="251"/>
      <c r="L494" s="184">
        <f t="shared" si="34"/>
        <v>271947547</v>
      </c>
      <c r="M494" s="184">
        <f>196778600+59215683</f>
        <v>255994283</v>
      </c>
      <c r="N494" s="251"/>
      <c r="O494" s="184">
        <f t="shared" si="35"/>
        <v>255994283</v>
      </c>
    </row>
    <row r="495" spans="1:15" ht="17.25" customHeight="1">
      <c r="A495" s="192" t="s">
        <v>206</v>
      </c>
      <c r="B495" s="182" t="s">
        <v>801</v>
      </c>
      <c r="C495" s="182" t="s">
        <v>269</v>
      </c>
      <c r="D495" s="182" t="s">
        <v>187</v>
      </c>
      <c r="E495" s="182" t="s">
        <v>572</v>
      </c>
      <c r="F495" s="183" t="s">
        <v>207</v>
      </c>
      <c r="G495" s="184">
        <v>6492296</v>
      </c>
      <c r="H495" s="251"/>
      <c r="I495" s="184">
        <f t="shared" si="36"/>
        <v>6492296</v>
      </c>
      <c r="J495" s="184">
        <v>6492296</v>
      </c>
      <c r="K495" s="251"/>
      <c r="L495" s="184">
        <f t="shared" si="34"/>
        <v>6492296</v>
      </c>
      <c r="M495" s="184">
        <v>6492296</v>
      </c>
      <c r="N495" s="251"/>
      <c r="O495" s="184">
        <f t="shared" si="35"/>
        <v>6492296</v>
      </c>
    </row>
    <row r="496" spans="1:15" ht="18" customHeight="1" hidden="1">
      <c r="A496" s="200" t="s">
        <v>535</v>
      </c>
      <c r="B496" s="182" t="s">
        <v>801</v>
      </c>
      <c r="C496" s="182" t="s">
        <v>269</v>
      </c>
      <c r="D496" s="182" t="s">
        <v>187</v>
      </c>
      <c r="E496" s="182" t="s">
        <v>573</v>
      </c>
      <c r="F496" s="183"/>
      <c r="G496" s="184">
        <f>G497</f>
        <v>0</v>
      </c>
      <c r="H496" s="251"/>
      <c r="I496" s="184">
        <f t="shared" si="36"/>
        <v>0</v>
      </c>
      <c r="J496" s="184">
        <f>J497</f>
        <v>0</v>
      </c>
      <c r="K496" s="251"/>
      <c r="L496" s="184">
        <f t="shared" si="34"/>
        <v>0</v>
      </c>
      <c r="M496" s="184">
        <f>M497</f>
        <v>0</v>
      </c>
      <c r="N496" s="251"/>
      <c r="O496" s="184">
        <f t="shared" si="35"/>
        <v>0</v>
      </c>
    </row>
    <row r="497" spans="1:15" ht="18" customHeight="1" hidden="1">
      <c r="A497" s="192" t="s">
        <v>206</v>
      </c>
      <c r="B497" s="182" t="s">
        <v>801</v>
      </c>
      <c r="C497" s="182" t="s">
        <v>269</v>
      </c>
      <c r="D497" s="182" t="s">
        <v>187</v>
      </c>
      <c r="E497" s="182" t="s">
        <v>573</v>
      </c>
      <c r="F497" s="183" t="s">
        <v>207</v>
      </c>
      <c r="G497" s="184"/>
      <c r="H497" s="251"/>
      <c r="I497" s="184">
        <f t="shared" si="36"/>
        <v>0</v>
      </c>
      <c r="J497" s="184"/>
      <c r="K497" s="251"/>
      <c r="L497" s="184">
        <f t="shared" si="34"/>
        <v>0</v>
      </c>
      <c r="M497" s="184"/>
      <c r="N497" s="251"/>
      <c r="O497" s="184">
        <f t="shared" si="35"/>
        <v>0</v>
      </c>
    </row>
    <row r="498" spans="1:15" ht="25.5" hidden="1">
      <c r="A498" s="200" t="s">
        <v>537</v>
      </c>
      <c r="B498" s="182" t="s">
        <v>801</v>
      </c>
      <c r="C498" s="182" t="s">
        <v>269</v>
      </c>
      <c r="D498" s="182" t="s">
        <v>187</v>
      </c>
      <c r="E498" s="182" t="s">
        <v>574</v>
      </c>
      <c r="F498" s="183"/>
      <c r="G498" s="184">
        <f>G499</f>
        <v>0</v>
      </c>
      <c r="H498" s="251"/>
      <c r="I498" s="184">
        <f t="shared" si="36"/>
        <v>0</v>
      </c>
      <c r="J498" s="184">
        <f>J499</f>
        <v>0</v>
      </c>
      <c r="K498" s="251"/>
      <c r="L498" s="184">
        <f t="shared" si="34"/>
        <v>0</v>
      </c>
      <c r="M498" s="184">
        <f>M499</f>
        <v>0</v>
      </c>
      <c r="N498" s="251"/>
      <c r="O498" s="184">
        <f t="shared" si="35"/>
        <v>0</v>
      </c>
    </row>
    <row r="499" spans="1:15" ht="25.5" hidden="1">
      <c r="A499" s="192" t="s">
        <v>206</v>
      </c>
      <c r="B499" s="182" t="s">
        <v>801</v>
      </c>
      <c r="C499" s="182" t="s">
        <v>269</v>
      </c>
      <c r="D499" s="182" t="s">
        <v>187</v>
      </c>
      <c r="E499" s="182" t="s">
        <v>574</v>
      </c>
      <c r="F499" s="183" t="s">
        <v>207</v>
      </c>
      <c r="G499" s="184"/>
      <c r="H499" s="251"/>
      <c r="I499" s="184">
        <f t="shared" si="36"/>
        <v>0</v>
      </c>
      <c r="J499" s="184"/>
      <c r="K499" s="251"/>
      <c r="L499" s="184">
        <f t="shared" si="34"/>
        <v>0</v>
      </c>
      <c r="M499" s="184"/>
      <c r="N499" s="251"/>
      <c r="O499" s="184">
        <f t="shared" si="35"/>
        <v>0</v>
      </c>
    </row>
    <row r="500" spans="1:15" ht="29.25" customHeight="1">
      <c r="A500" s="200" t="s">
        <v>575</v>
      </c>
      <c r="B500" s="182" t="s">
        <v>801</v>
      </c>
      <c r="C500" s="182" t="s">
        <v>269</v>
      </c>
      <c r="D500" s="182" t="s">
        <v>187</v>
      </c>
      <c r="E500" s="182" t="s">
        <v>576</v>
      </c>
      <c r="F500" s="183"/>
      <c r="G500" s="184">
        <f>G501</f>
        <v>805802</v>
      </c>
      <c r="H500" s="251"/>
      <c r="I500" s="184">
        <f t="shared" si="36"/>
        <v>805802</v>
      </c>
      <c r="J500" s="184">
        <f>J501</f>
        <v>805802</v>
      </c>
      <c r="K500" s="251"/>
      <c r="L500" s="184">
        <f t="shared" si="34"/>
        <v>805802</v>
      </c>
      <c r="M500" s="184">
        <f>M501</f>
        <v>805802</v>
      </c>
      <c r="N500" s="251"/>
      <c r="O500" s="184">
        <f t="shared" si="35"/>
        <v>805802</v>
      </c>
    </row>
    <row r="501" spans="1:15" ht="18" customHeight="1">
      <c r="A501" s="192" t="s">
        <v>206</v>
      </c>
      <c r="B501" s="182" t="s">
        <v>801</v>
      </c>
      <c r="C501" s="182" t="s">
        <v>269</v>
      </c>
      <c r="D501" s="182" t="s">
        <v>187</v>
      </c>
      <c r="E501" s="182" t="s">
        <v>576</v>
      </c>
      <c r="F501" s="183" t="s">
        <v>207</v>
      </c>
      <c r="G501" s="184">
        <v>805802</v>
      </c>
      <c r="H501" s="251"/>
      <c r="I501" s="184">
        <f t="shared" si="36"/>
        <v>805802</v>
      </c>
      <c r="J501" s="184">
        <v>805802</v>
      </c>
      <c r="K501" s="251"/>
      <c r="L501" s="184">
        <f t="shared" si="34"/>
        <v>805802</v>
      </c>
      <c r="M501" s="184">
        <v>805802</v>
      </c>
      <c r="N501" s="251"/>
      <c r="O501" s="184">
        <f t="shared" si="35"/>
        <v>805802</v>
      </c>
    </row>
    <row r="502" spans="1:15" ht="45" customHeight="1">
      <c r="A502" s="200" t="s">
        <v>577</v>
      </c>
      <c r="B502" s="182" t="s">
        <v>801</v>
      </c>
      <c r="C502" s="182" t="s">
        <v>269</v>
      </c>
      <c r="D502" s="182" t="s">
        <v>187</v>
      </c>
      <c r="E502" s="182" t="s">
        <v>578</v>
      </c>
      <c r="F502" s="183"/>
      <c r="G502" s="184">
        <f>G503</f>
        <v>1977583</v>
      </c>
      <c r="H502" s="251"/>
      <c r="I502" s="184">
        <f t="shared" si="36"/>
        <v>1977583</v>
      </c>
      <c r="J502" s="184">
        <f>J503</f>
        <v>1977583</v>
      </c>
      <c r="K502" s="251"/>
      <c r="L502" s="184">
        <f t="shared" si="34"/>
        <v>1977583</v>
      </c>
      <c r="M502" s="184">
        <f>M503</f>
        <v>1977583</v>
      </c>
      <c r="N502" s="251"/>
      <c r="O502" s="184">
        <f t="shared" si="35"/>
        <v>1977583</v>
      </c>
    </row>
    <row r="503" spans="1:15" ht="25.5" customHeight="1">
      <c r="A503" s="192" t="s">
        <v>206</v>
      </c>
      <c r="B503" s="182" t="s">
        <v>801</v>
      </c>
      <c r="C503" s="182" t="s">
        <v>269</v>
      </c>
      <c r="D503" s="182" t="s">
        <v>187</v>
      </c>
      <c r="E503" s="182" t="s">
        <v>578</v>
      </c>
      <c r="F503" s="183" t="s">
        <v>207</v>
      </c>
      <c r="G503" s="184">
        <f>1977583</f>
        <v>1977583</v>
      </c>
      <c r="H503" s="251"/>
      <c r="I503" s="184">
        <f t="shared" si="36"/>
        <v>1977583</v>
      </c>
      <c r="J503" s="184">
        <f>H503+I503</f>
        <v>1977583</v>
      </c>
      <c r="K503" s="251"/>
      <c r="L503" s="184">
        <f t="shared" si="34"/>
        <v>1977583</v>
      </c>
      <c r="M503" s="184">
        <f>K503+L503</f>
        <v>1977583</v>
      </c>
      <c r="N503" s="251"/>
      <c r="O503" s="184">
        <f t="shared" si="35"/>
        <v>1977583</v>
      </c>
    </row>
    <row r="504" spans="1:15" ht="38.25">
      <c r="A504" s="200" t="s">
        <v>579</v>
      </c>
      <c r="B504" s="182" t="s">
        <v>801</v>
      </c>
      <c r="C504" s="182" t="s">
        <v>269</v>
      </c>
      <c r="D504" s="182" t="s">
        <v>187</v>
      </c>
      <c r="E504" s="182" t="s">
        <v>580</v>
      </c>
      <c r="F504" s="183"/>
      <c r="G504" s="184">
        <f>G505</f>
        <v>656772</v>
      </c>
      <c r="H504" s="251"/>
      <c r="I504" s="184">
        <f t="shared" si="36"/>
        <v>656772</v>
      </c>
      <c r="J504" s="184">
        <f>J505</f>
        <v>656772</v>
      </c>
      <c r="K504" s="251"/>
      <c r="L504" s="184">
        <f t="shared" si="34"/>
        <v>656772</v>
      </c>
      <c r="M504" s="184">
        <f>M505</f>
        <v>656772</v>
      </c>
      <c r="N504" s="251"/>
      <c r="O504" s="184">
        <f t="shared" si="35"/>
        <v>656772</v>
      </c>
    </row>
    <row r="505" spans="1:15" ht="21.75" customHeight="1">
      <c r="A505" s="192" t="s">
        <v>206</v>
      </c>
      <c r="B505" s="182" t="s">
        <v>801</v>
      </c>
      <c r="C505" s="182" t="s">
        <v>269</v>
      </c>
      <c r="D505" s="182" t="s">
        <v>187</v>
      </c>
      <c r="E505" s="182" t="s">
        <v>580</v>
      </c>
      <c r="F505" s="183" t="s">
        <v>207</v>
      </c>
      <c r="G505" s="184">
        <v>656772</v>
      </c>
      <c r="H505" s="251"/>
      <c r="I505" s="184">
        <f t="shared" si="36"/>
        <v>656772</v>
      </c>
      <c r="J505" s="184">
        <v>656772</v>
      </c>
      <c r="K505" s="251"/>
      <c r="L505" s="184">
        <f t="shared" si="34"/>
        <v>656772</v>
      </c>
      <c r="M505" s="184">
        <v>656772</v>
      </c>
      <c r="N505" s="251"/>
      <c r="O505" s="184">
        <f t="shared" si="35"/>
        <v>656772</v>
      </c>
    </row>
    <row r="506" spans="1:15" ht="38.25">
      <c r="A506" s="200" t="s">
        <v>581</v>
      </c>
      <c r="B506" s="182" t="s">
        <v>801</v>
      </c>
      <c r="C506" s="182" t="s">
        <v>269</v>
      </c>
      <c r="D506" s="182" t="s">
        <v>187</v>
      </c>
      <c r="E506" s="182" t="s">
        <v>582</v>
      </c>
      <c r="F506" s="183"/>
      <c r="G506" s="184">
        <f>G507+G508</f>
        <v>6438756</v>
      </c>
      <c r="H506" s="251"/>
      <c r="I506" s="184">
        <f t="shared" si="36"/>
        <v>6438756</v>
      </c>
      <c r="J506" s="184">
        <f>J507+J508</f>
        <v>6438756</v>
      </c>
      <c r="K506" s="251"/>
      <c r="L506" s="184">
        <f t="shared" si="34"/>
        <v>6438756</v>
      </c>
      <c r="M506" s="184">
        <f>M507+M508</f>
        <v>6438756</v>
      </c>
      <c r="N506" s="251"/>
      <c r="O506" s="184">
        <f t="shared" si="35"/>
        <v>6438756</v>
      </c>
    </row>
    <row r="507" spans="1:15" ht="19.5" customHeight="1">
      <c r="A507" s="192" t="s">
        <v>206</v>
      </c>
      <c r="B507" s="182" t="s">
        <v>801</v>
      </c>
      <c r="C507" s="182" t="s">
        <v>269</v>
      </c>
      <c r="D507" s="182" t="s">
        <v>187</v>
      </c>
      <c r="E507" s="182" t="s">
        <v>582</v>
      </c>
      <c r="F507" s="183" t="s">
        <v>207</v>
      </c>
      <c r="G507" s="184">
        <f>6438756</f>
        <v>6438756</v>
      </c>
      <c r="H507" s="251"/>
      <c r="I507" s="184">
        <f t="shared" si="36"/>
        <v>6438756</v>
      </c>
      <c r="J507" s="184">
        <f>6438756</f>
        <v>6438756</v>
      </c>
      <c r="K507" s="251"/>
      <c r="L507" s="184">
        <f t="shared" si="34"/>
        <v>6438756</v>
      </c>
      <c r="M507" s="184">
        <f>6438756</f>
        <v>6438756</v>
      </c>
      <c r="N507" s="251"/>
      <c r="O507" s="184">
        <f t="shared" si="35"/>
        <v>6438756</v>
      </c>
    </row>
    <row r="508" spans="1:15" ht="15" hidden="1">
      <c r="A508" s="223" t="s">
        <v>244</v>
      </c>
      <c r="B508" s="182" t="s">
        <v>801</v>
      </c>
      <c r="C508" s="182" t="s">
        <v>269</v>
      </c>
      <c r="D508" s="182" t="s">
        <v>187</v>
      </c>
      <c r="E508" s="182" t="s">
        <v>582</v>
      </c>
      <c r="F508" s="183" t="s">
        <v>245</v>
      </c>
      <c r="G508" s="184"/>
      <c r="H508" s="251"/>
      <c r="I508" s="184">
        <f t="shared" si="36"/>
        <v>0</v>
      </c>
      <c r="J508" s="184"/>
      <c r="K508" s="251"/>
      <c r="L508" s="184">
        <f t="shared" si="34"/>
        <v>0</v>
      </c>
      <c r="M508" s="184"/>
      <c r="N508" s="251"/>
      <c r="O508" s="184">
        <f t="shared" si="35"/>
        <v>0</v>
      </c>
    </row>
    <row r="509" spans="1:15" ht="15.75" customHeight="1">
      <c r="A509" s="199" t="s">
        <v>366</v>
      </c>
      <c r="B509" s="182" t="s">
        <v>801</v>
      </c>
      <c r="C509" s="182" t="s">
        <v>269</v>
      </c>
      <c r="D509" s="182" t="s">
        <v>187</v>
      </c>
      <c r="E509" s="182" t="s">
        <v>583</v>
      </c>
      <c r="F509" s="183"/>
      <c r="G509" s="184">
        <f>G510+G512+G511</f>
        <v>24904941</v>
      </c>
      <c r="H509" s="184">
        <f>H510+H512+H511</f>
        <v>4000000</v>
      </c>
      <c r="I509" s="184">
        <f t="shared" si="36"/>
        <v>28904941</v>
      </c>
      <c r="J509" s="184">
        <f>J510+J512+J511</f>
        <v>24904941</v>
      </c>
      <c r="K509" s="184">
        <f>K510+K512+K511</f>
        <v>4000000</v>
      </c>
      <c r="L509" s="184">
        <f t="shared" si="34"/>
        <v>28904941</v>
      </c>
      <c r="M509" s="184">
        <f>M510+M512+M511</f>
        <v>24904941</v>
      </c>
      <c r="N509" s="184">
        <f>N510+N512+N511</f>
        <v>4000000</v>
      </c>
      <c r="O509" s="184">
        <f t="shared" si="35"/>
        <v>28904941</v>
      </c>
    </row>
    <row r="510" spans="1:15" ht="18" customHeight="1">
      <c r="A510" s="192" t="s">
        <v>206</v>
      </c>
      <c r="B510" s="182" t="s">
        <v>801</v>
      </c>
      <c r="C510" s="182" t="s">
        <v>269</v>
      </c>
      <c r="D510" s="182" t="s">
        <v>187</v>
      </c>
      <c r="E510" s="182" t="s">
        <v>583</v>
      </c>
      <c r="F510" s="183" t="s">
        <v>207</v>
      </c>
      <c r="G510" s="184">
        <f>483700+5626700+11961700+4432800</f>
        <v>22504900</v>
      </c>
      <c r="H510" s="254">
        <f>3380000+620000</f>
        <v>4000000</v>
      </c>
      <c r="I510" s="184">
        <f t="shared" si="36"/>
        <v>26504900</v>
      </c>
      <c r="J510" s="184">
        <f>483700+5626700+11961700+4432800</f>
        <v>22504900</v>
      </c>
      <c r="K510" s="254">
        <f>3380000+620000</f>
        <v>4000000</v>
      </c>
      <c r="L510" s="184">
        <f t="shared" si="34"/>
        <v>26504900</v>
      </c>
      <c r="M510" s="184">
        <f>483700+5626700+11961700+4432800</f>
        <v>22504900</v>
      </c>
      <c r="N510" s="254">
        <f>3380000+620000</f>
        <v>4000000</v>
      </c>
      <c r="O510" s="184">
        <f t="shared" si="35"/>
        <v>26504900</v>
      </c>
    </row>
    <row r="511" spans="1:15" ht="15" hidden="1">
      <c r="A511" s="199" t="s">
        <v>429</v>
      </c>
      <c r="B511" s="182" t="s">
        <v>801</v>
      </c>
      <c r="C511" s="182" t="s">
        <v>269</v>
      </c>
      <c r="D511" s="182" t="s">
        <v>187</v>
      </c>
      <c r="E511" s="182" t="s">
        <v>583</v>
      </c>
      <c r="F511" s="183" t="s">
        <v>430</v>
      </c>
      <c r="G511" s="184"/>
      <c r="H511" s="254"/>
      <c r="I511" s="184">
        <f t="shared" si="36"/>
        <v>0</v>
      </c>
      <c r="J511" s="184"/>
      <c r="K511" s="254"/>
      <c r="L511" s="184">
        <f t="shared" si="34"/>
        <v>0</v>
      </c>
      <c r="M511" s="184"/>
      <c r="N511" s="254"/>
      <c r="O511" s="184">
        <f t="shared" si="35"/>
        <v>0</v>
      </c>
    </row>
    <row r="512" spans="1:15" ht="15">
      <c r="A512" s="199" t="s">
        <v>274</v>
      </c>
      <c r="B512" s="182" t="s">
        <v>801</v>
      </c>
      <c r="C512" s="182" t="s">
        <v>269</v>
      </c>
      <c r="D512" s="182" t="s">
        <v>187</v>
      </c>
      <c r="E512" s="182" t="s">
        <v>583</v>
      </c>
      <c r="F512" s="183" t="s">
        <v>275</v>
      </c>
      <c r="G512" s="184">
        <f>2293696+106345</f>
        <v>2400041</v>
      </c>
      <c r="H512" s="251"/>
      <c r="I512" s="184">
        <f t="shared" si="36"/>
        <v>2400041</v>
      </c>
      <c r="J512" s="184">
        <f>2293696+106345</f>
        <v>2400041</v>
      </c>
      <c r="K512" s="251"/>
      <c r="L512" s="184">
        <f t="shared" si="34"/>
        <v>2400041</v>
      </c>
      <c r="M512" s="184">
        <f>2293696+106345</f>
        <v>2400041</v>
      </c>
      <c r="N512" s="251"/>
      <c r="O512" s="184">
        <f t="shared" si="35"/>
        <v>2400041</v>
      </c>
    </row>
    <row r="513" spans="1:15" ht="15">
      <c r="A513" s="192" t="s">
        <v>584</v>
      </c>
      <c r="B513" s="182" t="s">
        <v>801</v>
      </c>
      <c r="C513" s="182" t="s">
        <v>269</v>
      </c>
      <c r="D513" s="182" t="s">
        <v>187</v>
      </c>
      <c r="E513" s="182" t="s">
        <v>585</v>
      </c>
      <c r="F513" s="183"/>
      <c r="G513" s="184">
        <f>G514</f>
        <v>100000</v>
      </c>
      <c r="H513" s="251"/>
      <c r="I513" s="184">
        <f t="shared" si="36"/>
        <v>100000</v>
      </c>
      <c r="J513" s="184">
        <f>J514</f>
        <v>100000</v>
      </c>
      <c r="K513" s="251"/>
      <c r="L513" s="184">
        <f t="shared" si="34"/>
        <v>100000</v>
      </c>
      <c r="M513" s="184">
        <f>M514</f>
        <v>100000</v>
      </c>
      <c r="N513" s="251"/>
      <c r="O513" s="184">
        <f t="shared" si="35"/>
        <v>100000</v>
      </c>
    </row>
    <row r="514" spans="1:15" ht="22.5" customHeight="1">
      <c r="A514" s="192" t="s">
        <v>206</v>
      </c>
      <c r="B514" s="182" t="s">
        <v>801</v>
      </c>
      <c r="C514" s="182" t="s">
        <v>269</v>
      </c>
      <c r="D514" s="182" t="s">
        <v>187</v>
      </c>
      <c r="E514" s="182" t="s">
        <v>585</v>
      </c>
      <c r="F514" s="183" t="s">
        <v>245</v>
      </c>
      <c r="G514" s="184">
        <v>100000</v>
      </c>
      <c r="H514" s="251"/>
      <c r="I514" s="184">
        <f t="shared" si="36"/>
        <v>100000</v>
      </c>
      <c r="J514" s="184">
        <v>100000</v>
      </c>
      <c r="K514" s="251"/>
      <c r="L514" s="184">
        <f t="shared" si="34"/>
        <v>100000</v>
      </c>
      <c r="M514" s="184">
        <v>100000</v>
      </c>
      <c r="N514" s="251"/>
      <c r="O514" s="184">
        <f>M514+N514</f>
        <v>100000</v>
      </c>
    </row>
    <row r="515" spans="1:15" ht="25.5">
      <c r="A515" s="199" t="s">
        <v>540</v>
      </c>
      <c r="B515" s="182" t="s">
        <v>801</v>
      </c>
      <c r="C515" s="182" t="s">
        <v>269</v>
      </c>
      <c r="D515" s="182" t="s">
        <v>187</v>
      </c>
      <c r="E515" s="182" t="s">
        <v>541</v>
      </c>
      <c r="F515" s="183"/>
      <c r="G515" s="184">
        <f>G516+G519+G521+G523</f>
        <v>20021108</v>
      </c>
      <c r="H515" s="184">
        <f>H516+H519+H521+H523</f>
        <v>0</v>
      </c>
      <c r="I515" s="184">
        <f t="shared" si="36"/>
        <v>20021108</v>
      </c>
      <c r="J515" s="184">
        <f>J516+J519+J521+J523</f>
        <v>11974639</v>
      </c>
      <c r="K515" s="184">
        <f>K516+K519+K521+K523</f>
        <v>0</v>
      </c>
      <c r="L515" s="184">
        <f t="shared" si="34"/>
        <v>11974639</v>
      </c>
      <c r="M515" s="184">
        <f>M516+M519+M521+M523</f>
        <v>11974639</v>
      </c>
      <c r="N515" s="184">
        <f>N516+N519+N521+N523</f>
        <v>0</v>
      </c>
      <c r="O515" s="184">
        <f aca="true" t="shared" si="39" ref="O515:O547">M515+N515</f>
        <v>11974639</v>
      </c>
    </row>
    <row r="516" spans="1:15" ht="38.25">
      <c r="A516" s="199" t="s">
        <v>542</v>
      </c>
      <c r="B516" s="182" t="s">
        <v>801</v>
      </c>
      <c r="C516" s="182" t="s">
        <v>269</v>
      </c>
      <c r="D516" s="182" t="s">
        <v>187</v>
      </c>
      <c r="E516" s="182" t="s">
        <v>543</v>
      </c>
      <c r="F516" s="183"/>
      <c r="G516" s="184">
        <f>G517+G518</f>
        <v>19576812</v>
      </c>
      <c r="H516" s="184">
        <f>H517+H518</f>
        <v>0</v>
      </c>
      <c r="I516" s="184">
        <f t="shared" si="36"/>
        <v>19576812</v>
      </c>
      <c r="J516" s="184">
        <f>J517+J518</f>
        <v>11547112</v>
      </c>
      <c r="K516" s="184">
        <f>K517+K518</f>
        <v>0</v>
      </c>
      <c r="L516" s="184">
        <f aca="true" t="shared" si="40" ref="L516:L548">J516+K516</f>
        <v>11547112</v>
      </c>
      <c r="M516" s="184">
        <f>M517+M518</f>
        <v>11547112</v>
      </c>
      <c r="N516" s="184">
        <f>N517+N518</f>
        <v>0</v>
      </c>
      <c r="O516" s="184">
        <f t="shared" si="39"/>
        <v>11547112</v>
      </c>
    </row>
    <row r="517" spans="1:15" ht="38.25">
      <c r="A517" s="192" t="s">
        <v>194</v>
      </c>
      <c r="B517" s="182" t="s">
        <v>801</v>
      </c>
      <c r="C517" s="182" t="s">
        <v>269</v>
      </c>
      <c r="D517" s="182" t="s">
        <v>187</v>
      </c>
      <c r="E517" s="182" t="s">
        <v>543</v>
      </c>
      <c r="F517" s="183" t="s">
        <v>195</v>
      </c>
      <c r="G517" s="184">
        <v>13708812</v>
      </c>
      <c r="H517" s="251"/>
      <c r="I517" s="184">
        <f t="shared" si="36"/>
        <v>13708812</v>
      </c>
      <c r="J517" s="184">
        <v>8084992</v>
      </c>
      <c r="K517" s="251"/>
      <c r="L517" s="184">
        <f t="shared" si="40"/>
        <v>8084992</v>
      </c>
      <c r="M517" s="184">
        <v>8084992</v>
      </c>
      <c r="N517" s="251"/>
      <c r="O517" s="184">
        <f t="shared" si="39"/>
        <v>8084992</v>
      </c>
    </row>
    <row r="518" spans="1:15" ht="15">
      <c r="A518" s="223" t="s">
        <v>244</v>
      </c>
      <c r="B518" s="182" t="s">
        <v>801</v>
      </c>
      <c r="C518" s="182" t="s">
        <v>269</v>
      </c>
      <c r="D518" s="182" t="s">
        <v>187</v>
      </c>
      <c r="E518" s="182" t="s">
        <v>543</v>
      </c>
      <c r="F518" s="183" t="s">
        <v>245</v>
      </c>
      <c r="G518" s="184">
        <v>5868000</v>
      </c>
      <c r="H518" s="251"/>
      <c r="I518" s="184">
        <f t="shared" si="36"/>
        <v>5868000</v>
      </c>
      <c r="J518" s="184">
        <v>3462120</v>
      </c>
      <c r="K518" s="251"/>
      <c r="L518" s="184">
        <f t="shared" si="40"/>
        <v>3462120</v>
      </c>
      <c r="M518" s="184">
        <v>3462120</v>
      </c>
      <c r="N518" s="251"/>
      <c r="O518" s="184">
        <f t="shared" si="39"/>
        <v>3462120</v>
      </c>
    </row>
    <row r="519" spans="1:15" ht="69" customHeight="1">
      <c r="A519" s="199" t="s">
        <v>586</v>
      </c>
      <c r="B519" s="182" t="s">
        <v>801</v>
      </c>
      <c r="C519" s="182" t="s">
        <v>269</v>
      </c>
      <c r="D519" s="182" t="s">
        <v>187</v>
      </c>
      <c r="E519" s="182" t="s">
        <v>587</v>
      </c>
      <c r="F519" s="183"/>
      <c r="G519" s="184">
        <f>G520</f>
        <v>226766</v>
      </c>
      <c r="H519" s="184">
        <f>H520</f>
        <v>0</v>
      </c>
      <c r="I519" s="184">
        <f t="shared" si="36"/>
        <v>226766</v>
      </c>
      <c r="J519" s="184">
        <f>J520</f>
        <v>209997</v>
      </c>
      <c r="K519" s="184">
        <f>K520</f>
        <v>0</v>
      </c>
      <c r="L519" s="184">
        <f t="shared" si="40"/>
        <v>209997</v>
      </c>
      <c r="M519" s="184">
        <f>M520</f>
        <v>209997</v>
      </c>
      <c r="N519" s="184">
        <f>N520</f>
        <v>0</v>
      </c>
      <c r="O519" s="184">
        <f t="shared" si="39"/>
        <v>209997</v>
      </c>
    </row>
    <row r="520" spans="1:15" ht="21" customHeight="1">
      <c r="A520" s="192" t="s">
        <v>206</v>
      </c>
      <c r="B520" s="182" t="s">
        <v>801</v>
      </c>
      <c r="C520" s="182" t="s">
        <v>269</v>
      </c>
      <c r="D520" s="182" t="s">
        <v>187</v>
      </c>
      <c r="E520" s="182" t="s">
        <v>587</v>
      </c>
      <c r="F520" s="183" t="s">
        <v>207</v>
      </c>
      <c r="G520" s="184">
        <v>226766</v>
      </c>
      <c r="H520" s="251"/>
      <c r="I520" s="184">
        <f t="shared" si="36"/>
        <v>226766</v>
      </c>
      <c r="J520" s="184">
        <v>209997</v>
      </c>
      <c r="K520" s="251"/>
      <c r="L520" s="184">
        <f t="shared" si="40"/>
        <v>209997</v>
      </c>
      <c r="M520" s="184">
        <v>209997</v>
      </c>
      <c r="N520" s="251"/>
      <c r="O520" s="184">
        <f t="shared" si="39"/>
        <v>209997</v>
      </c>
    </row>
    <row r="521" spans="1:15" ht="29.25" customHeight="1">
      <c r="A521" s="192" t="s">
        <v>588</v>
      </c>
      <c r="B521" s="182" t="s">
        <v>801</v>
      </c>
      <c r="C521" s="182" t="s">
        <v>269</v>
      </c>
      <c r="D521" s="182" t="s">
        <v>187</v>
      </c>
      <c r="E521" s="182" t="s">
        <v>589</v>
      </c>
      <c r="F521" s="183"/>
      <c r="G521" s="184">
        <f>G522</f>
        <v>11249</v>
      </c>
      <c r="H521" s="251"/>
      <c r="I521" s="184">
        <f t="shared" si="36"/>
        <v>11249</v>
      </c>
      <c r="J521" s="184">
        <f>J522</f>
        <v>11249</v>
      </c>
      <c r="K521" s="251"/>
      <c r="L521" s="184">
        <f t="shared" si="40"/>
        <v>11249</v>
      </c>
      <c r="M521" s="184">
        <f>M522</f>
        <v>11249</v>
      </c>
      <c r="N521" s="251"/>
      <c r="O521" s="184">
        <f t="shared" si="39"/>
        <v>11249</v>
      </c>
    </row>
    <row r="522" spans="1:15" ht="43.5" customHeight="1">
      <c r="A522" s="192" t="s">
        <v>194</v>
      </c>
      <c r="B522" s="182" t="s">
        <v>801</v>
      </c>
      <c r="C522" s="182" t="s">
        <v>269</v>
      </c>
      <c r="D522" s="182" t="s">
        <v>187</v>
      </c>
      <c r="E522" s="182" t="s">
        <v>589</v>
      </c>
      <c r="F522" s="183" t="s">
        <v>195</v>
      </c>
      <c r="G522" s="184">
        <v>11249</v>
      </c>
      <c r="H522" s="251"/>
      <c r="I522" s="184">
        <f t="shared" si="36"/>
        <v>11249</v>
      </c>
      <c r="J522" s="184">
        <v>11249</v>
      </c>
      <c r="K522" s="251"/>
      <c r="L522" s="184">
        <f t="shared" si="40"/>
        <v>11249</v>
      </c>
      <c r="M522" s="184">
        <v>11249</v>
      </c>
      <c r="N522" s="251"/>
      <c r="O522" s="184">
        <f t="shared" si="39"/>
        <v>11249</v>
      </c>
    </row>
    <row r="523" spans="1:15" ht="29.25" customHeight="1">
      <c r="A523" s="192" t="s">
        <v>590</v>
      </c>
      <c r="B523" s="182" t="s">
        <v>801</v>
      </c>
      <c r="C523" s="182" t="s">
        <v>269</v>
      </c>
      <c r="D523" s="182" t="s">
        <v>187</v>
      </c>
      <c r="E523" s="182" t="s">
        <v>591</v>
      </c>
      <c r="F523" s="183"/>
      <c r="G523" s="184">
        <f>G524</f>
        <v>206281</v>
      </c>
      <c r="H523" s="251"/>
      <c r="I523" s="184">
        <f aca="true" t="shared" si="41" ref="I523:I586">G523+H523</f>
        <v>206281</v>
      </c>
      <c r="J523" s="184">
        <f>J524</f>
        <v>206281</v>
      </c>
      <c r="K523" s="251"/>
      <c r="L523" s="184">
        <f t="shared" si="40"/>
        <v>206281</v>
      </c>
      <c r="M523" s="184">
        <f>M524</f>
        <v>206281</v>
      </c>
      <c r="N523" s="251"/>
      <c r="O523" s="184">
        <f t="shared" si="39"/>
        <v>206281</v>
      </c>
    </row>
    <row r="524" spans="1:15" ht="43.5" customHeight="1">
      <c r="A524" s="192" t="s">
        <v>194</v>
      </c>
      <c r="B524" s="182" t="s">
        <v>801</v>
      </c>
      <c r="C524" s="182" t="s">
        <v>269</v>
      </c>
      <c r="D524" s="182" t="s">
        <v>187</v>
      </c>
      <c r="E524" s="182" t="s">
        <v>591</v>
      </c>
      <c r="F524" s="183" t="s">
        <v>195</v>
      </c>
      <c r="G524" s="184">
        <f>206281</f>
        <v>206281</v>
      </c>
      <c r="H524" s="251"/>
      <c r="I524" s="184">
        <f t="shared" si="41"/>
        <v>206281</v>
      </c>
      <c r="J524" s="184">
        <f>H524+I524</f>
        <v>206281</v>
      </c>
      <c r="K524" s="251"/>
      <c r="L524" s="184">
        <f t="shared" si="40"/>
        <v>206281</v>
      </c>
      <c r="M524" s="184">
        <f>K524+L524</f>
        <v>206281</v>
      </c>
      <c r="N524" s="251"/>
      <c r="O524" s="184">
        <f t="shared" si="39"/>
        <v>206281</v>
      </c>
    </row>
    <row r="525" spans="1:15" ht="71.25" customHeight="1">
      <c r="A525" s="226" t="s">
        <v>592</v>
      </c>
      <c r="B525" s="182" t="s">
        <v>801</v>
      </c>
      <c r="C525" s="182" t="s">
        <v>269</v>
      </c>
      <c r="D525" s="182" t="s">
        <v>187</v>
      </c>
      <c r="E525" s="182" t="s">
        <v>593</v>
      </c>
      <c r="F525" s="183"/>
      <c r="G525" s="184">
        <f>G526</f>
        <v>6120000</v>
      </c>
      <c r="H525" s="251"/>
      <c r="I525" s="184">
        <f t="shared" si="41"/>
        <v>6120000</v>
      </c>
      <c r="J525" s="184"/>
      <c r="K525" s="251"/>
      <c r="L525" s="184">
        <f t="shared" si="40"/>
        <v>0</v>
      </c>
      <c r="M525" s="184"/>
      <c r="N525" s="251"/>
      <c r="O525" s="184">
        <f t="shared" si="39"/>
        <v>0</v>
      </c>
    </row>
    <row r="526" spans="1:15" ht="43.5" customHeight="1">
      <c r="A526" s="199" t="s">
        <v>594</v>
      </c>
      <c r="B526" s="182" t="s">
        <v>801</v>
      </c>
      <c r="C526" s="182" t="s">
        <v>269</v>
      </c>
      <c r="D526" s="182" t="s">
        <v>187</v>
      </c>
      <c r="E526" s="182" t="s">
        <v>595</v>
      </c>
      <c r="F526" s="183"/>
      <c r="G526" s="184">
        <f>G527</f>
        <v>6120000</v>
      </c>
      <c r="H526" s="251"/>
      <c r="I526" s="184">
        <f t="shared" si="41"/>
        <v>6120000</v>
      </c>
      <c r="J526" s="184"/>
      <c r="K526" s="251"/>
      <c r="L526" s="184">
        <f t="shared" si="40"/>
        <v>0</v>
      </c>
      <c r="M526" s="184"/>
      <c r="N526" s="251"/>
      <c r="O526" s="184">
        <f t="shared" si="39"/>
        <v>0</v>
      </c>
    </row>
    <row r="527" spans="1:15" ht="22.5" customHeight="1">
      <c r="A527" s="192" t="s">
        <v>366</v>
      </c>
      <c r="B527" s="182" t="s">
        <v>801</v>
      </c>
      <c r="C527" s="182" t="s">
        <v>269</v>
      </c>
      <c r="D527" s="182" t="s">
        <v>187</v>
      </c>
      <c r="E527" s="182" t="s">
        <v>596</v>
      </c>
      <c r="F527" s="183"/>
      <c r="G527" s="184">
        <f>G528</f>
        <v>6120000</v>
      </c>
      <c r="H527" s="251"/>
      <c r="I527" s="184">
        <f t="shared" si="41"/>
        <v>6120000</v>
      </c>
      <c r="J527" s="184"/>
      <c r="K527" s="251"/>
      <c r="L527" s="184">
        <f t="shared" si="40"/>
        <v>0</v>
      </c>
      <c r="M527" s="184"/>
      <c r="N527" s="251"/>
      <c r="O527" s="184">
        <f t="shared" si="39"/>
        <v>0</v>
      </c>
    </row>
    <row r="528" spans="1:15" ht="25.5" customHeight="1">
      <c r="A528" s="192" t="s">
        <v>429</v>
      </c>
      <c r="B528" s="182" t="s">
        <v>801</v>
      </c>
      <c r="C528" s="182" t="s">
        <v>269</v>
      </c>
      <c r="D528" s="182" t="s">
        <v>187</v>
      </c>
      <c r="E528" s="182" t="s">
        <v>596</v>
      </c>
      <c r="F528" s="183" t="s">
        <v>430</v>
      </c>
      <c r="G528" s="184">
        <v>6120000</v>
      </c>
      <c r="H528" s="251"/>
      <c r="I528" s="184">
        <f t="shared" si="41"/>
        <v>6120000</v>
      </c>
      <c r="J528" s="184"/>
      <c r="K528" s="251"/>
      <c r="L528" s="184">
        <f t="shared" si="40"/>
        <v>0</v>
      </c>
      <c r="M528" s="184"/>
      <c r="N528" s="251"/>
      <c r="O528" s="184">
        <f t="shared" si="39"/>
        <v>0</v>
      </c>
    </row>
    <row r="529" spans="1:15" ht="45" customHeight="1">
      <c r="A529" s="209" t="s">
        <v>327</v>
      </c>
      <c r="B529" s="182" t="s">
        <v>801</v>
      </c>
      <c r="C529" s="182" t="s">
        <v>269</v>
      </c>
      <c r="D529" s="182" t="s">
        <v>187</v>
      </c>
      <c r="E529" s="207" t="s">
        <v>328</v>
      </c>
      <c r="F529" s="183"/>
      <c r="G529" s="184">
        <f>G530</f>
        <v>70400</v>
      </c>
      <c r="H529" s="251"/>
      <c r="I529" s="184">
        <f t="shared" si="41"/>
        <v>70400</v>
      </c>
      <c r="J529" s="184">
        <f>J530</f>
        <v>70400</v>
      </c>
      <c r="K529" s="251"/>
      <c r="L529" s="184">
        <f t="shared" si="40"/>
        <v>70400</v>
      </c>
      <c r="M529" s="184">
        <f>M530</f>
        <v>70400</v>
      </c>
      <c r="N529" s="251"/>
      <c r="O529" s="184">
        <f t="shared" si="39"/>
        <v>70400</v>
      </c>
    </row>
    <row r="530" spans="1:15" ht="65.25" customHeight="1">
      <c r="A530" s="211" t="s">
        <v>329</v>
      </c>
      <c r="B530" s="182" t="s">
        <v>801</v>
      </c>
      <c r="C530" s="182" t="s">
        <v>269</v>
      </c>
      <c r="D530" s="182" t="s">
        <v>187</v>
      </c>
      <c r="E530" s="207" t="s">
        <v>330</v>
      </c>
      <c r="F530" s="183"/>
      <c r="G530" s="184">
        <f>G531+G534</f>
        <v>70400</v>
      </c>
      <c r="H530" s="251"/>
      <c r="I530" s="184">
        <f t="shared" si="41"/>
        <v>70400</v>
      </c>
      <c r="J530" s="184">
        <f>J531+J534</f>
        <v>70400</v>
      </c>
      <c r="K530" s="251"/>
      <c r="L530" s="184">
        <f t="shared" si="40"/>
        <v>70400</v>
      </c>
      <c r="M530" s="184">
        <f>M531+M534</f>
        <v>70400</v>
      </c>
      <c r="N530" s="251"/>
      <c r="O530" s="184">
        <f t="shared" si="39"/>
        <v>70400</v>
      </c>
    </row>
    <row r="531" spans="1:15" ht="25.5">
      <c r="A531" s="213" t="s">
        <v>331</v>
      </c>
      <c r="B531" s="182" t="s">
        <v>801</v>
      </c>
      <c r="C531" s="182" t="s">
        <v>269</v>
      </c>
      <c r="D531" s="182" t="s">
        <v>187</v>
      </c>
      <c r="E531" s="207" t="s">
        <v>332</v>
      </c>
      <c r="F531" s="183"/>
      <c r="G531" s="184">
        <f>G532</f>
        <v>20000</v>
      </c>
      <c r="H531" s="251"/>
      <c r="I531" s="184">
        <f t="shared" si="41"/>
        <v>20000</v>
      </c>
      <c r="J531" s="184">
        <f>J532</f>
        <v>20000</v>
      </c>
      <c r="K531" s="251"/>
      <c r="L531" s="184">
        <f t="shared" si="40"/>
        <v>20000</v>
      </c>
      <c r="M531" s="184">
        <f>M532</f>
        <v>20000</v>
      </c>
      <c r="N531" s="251"/>
      <c r="O531" s="184">
        <f t="shared" si="39"/>
        <v>20000</v>
      </c>
    </row>
    <row r="532" spans="1:15" ht="25.5">
      <c r="A532" s="199" t="s">
        <v>333</v>
      </c>
      <c r="B532" s="182" t="s">
        <v>801</v>
      </c>
      <c r="C532" s="182" t="s">
        <v>269</v>
      </c>
      <c r="D532" s="182" t="s">
        <v>187</v>
      </c>
      <c r="E532" s="207" t="s">
        <v>334</v>
      </c>
      <c r="F532" s="183"/>
      <c r="G532" s="184">
        <f>G533</f>
        <v>20000</v>
      </c>
      <c r="H532" s="251"/>
      <c r="I532" s="184">
        <f t="shared" si="41"/>
        <v>20000</v>
      </c>
      <c r="J532" s="184">
        <f>J533</f>
        <v>20000</v>
      </c>
      <c r="K532" s="251"/>
      <c r="L532" s="184">
        <f t="shared" si="40"/>
        <v>20000</v>
      </c>
      <c r="M532" s="184">
        <f>M533</f>
        <v>20000</v>
      </c>
      <c r="N532" s="251"/>
      <c r="O532" s="184">
        <f t="shared" si="39"/>
        <v>20000</v>
      </c>
    </row>
    <row r="533" spans="1:15" ht="25.5">
      <c r="A533" s="192" t="s">
        <v>206</v>
      </c>
      <c r="B533" s="182" t="s">
        <v>801</v>
      </c>
      <c r="C533" s="182" t="s">
        <v>269</v>
      </c>
      <c r="D533" s="182" t="s">
        <v>187</v>
      </c>
      <c r="E533" s="207" t="s">
        <v>334</v>
      </c>
      <c r="F533" s="183" t="s">
        <v>207</v>
      </c>
      <c r="G533" s="184">
        <v>20000</v>
      </c>
      <c r="H533" s="251"/>
      <c r="I533" s="184">
        <f t="shared" si="41"/>
        <v>20000</v>
      </c>
      <c r="J533" s="184">
        <v>20000</v>
      </c>
      <c r="K533" s="251"/>
      <c r="L533" s="184">
        <f t="shared" si="40"/>
        <v>20000</v>
      </c>
      <c r="M533" s="184">
        <v>20000</v>
      </c>
      <c r="N533" s="251"/>
      <c r="O533" s="184">
        <f t="shared" si="39"/>
        <v>20000</v>
      </c>
    </row>
    <row r="534" spans="1:15" ht="57" customHeight="1">
      <c r="A534" s="213" t="s">
        <v>597</v>
      </c>
      <c r="B534" s="182" t="s">
        <v>801</v>
      </c>
      <c r="C534" s="182" t="s">
        <v>269</v>
      </c>
      <c r="D534" s="182" t="s">
        <v>187</v>
      </c>
      <c r="E534" s="207" t="s">
        <v>598</v>
      </c>
      <c r="F534" s="183"/>
      <c r="G534" s="184">
        <f>G535</f>
        <v>50400</v>
      </c>
      <c r="H534" s="251"/>
      <c r="I534" s="184">
        <f t="shared" si="41"/>
        <v>50400</v>
      </c>
      <c r="J534" s="184">
        <f>J535</f>
        <v>50400</v>
      </c>
      <c r="K534" s="251"/>
      <c r="L534" s="184">
        <f t="shared" si="40"/>
        <v>50400</v>
      </c>
      <c r="M534" s="184">
        <f>M535</f>
        <v>50400</v>
      </c>
      <c r="N534" s="251"/>
      <c r="O534" s="184">
        <f t="shared" si="39"/>
        <v>50400</v>
      </c>
    </row>
    <row r="535" spans="1:15" ht="26.25" customHeight="1">
      <c r="A535" s="199" t="s">
        <v>333</v>
      </c>
      <c r="B535" s="182" t="s">
        <v>801</v>
      </c>
      <c r="C535" s="182" t="s">
        <v>269</v>
      </c>
      <c r="D535" s="182" t="s">
        <v>187</v>
      </c>
      <c r="E535" s="207" t="s">
        <v>599</v>
      </c>
      <c r="F535" s="183"/>
      <c r="G535" s="184">
        <f>G536</f>
        <v>50400</v>
      </c>
      <c r="H535" s="251"/>
      <c r="I535" s="184">
        <f t="shared" si="41"/>
        <v>50400</v>
      </c>
      <c r="J535" s="184">
        <f>J536</f>
        <v>50400</v>
      </c>
      <c r="K535" s="251"/>
      <c r="L535" s="184">
        <f t="shared" si="40"/>
        <v>50400</v>
      </c>
      <c r="M535" s="184">
        <f>M536</f>
        <v>50400</v>
      </c>
      <c r="N535" s="251"/>
      <c r="O535" s="184">
        <f t="shared" si="39"/>
        <v>50400</v>
      </c>
    </row>
    <row r="536" spans="1:15" ht="23.25" customHeight="1">
      <c r="A536" s="192" t="s">
        <v>206</v>
      </c>
      <c r="B536" s="182" t="s">
        <v>801</v>
      </c>
      <c r="C536" s="182" t="s">
        <v>269</v>
      </c>
      <c r="D536" s="182" t="s">
        <v>187</v>
      </c>
      <c r="E536" s="207" t="s">
        <v>599</v>
      </c>
      <c r="F536" s="183" t="s">
        <v>207</v>
      </c>
      <c r="G536" s="184">
        <v>50400</v>
      </c>
      <c r="H536" s="251"/>
      <c r="I536" s="184">
        <f t="shared" si="41"/>
        <v>50400</v>
      </c>
      <c r="J536" s="184">
        <v>50400</v>
      </c>
      <c r="K536" s="251"/>
      <c r="L536" s="184">
        <f t="shared" si="40"/>
        <v>50400</v>
      </c>
      <c r="M536" s="184">
        <v>50400</v>
      </c>
      <c r="N536" s="251"/>
      <c r="O536" s="184">
        <f t="shared" si="39"/>
        <v>50400</v>
      </c>
    </row>
    <row r="537" spans="1:15" ht="28.5" customHeight="1">
      <c r="A537" s="209" t="s">
        <v>600</v>
      </c>
      <c r="B537" s="182" t="s">
        <v>801</v>
      </c>
      <c r="C537" s="182" t="s">
        <v>269</v>
      </c>
      <c r="D537" s="182" t="s">
        <v>187</v>
      </c>
      <c r="E537" s="182" t="s">
        <v>601</v>
      </c>
      <c r="F537" s="193"/>
      <c r="G537" s="184">
        <f>G538</f>
        <v>20000</v>
      </c>
      <c r="H537" s="251"/>
      <c r="I537" s="184">
        <f t="shared" si="41"/>
        <v>20000</v>
      </c>
      <c r="J537" s="184">
        <f>J538</f>
        <v>20000</v>
      </c>
      <c r="K537" s="251"/>
      <c r="L537" s="184">
        <f t="shared" si="40"/>
        <v>20000</v>
      </c>
      <c r="M537" s="184">
        <f>M538</f>
        <v>20000</v>
      </c>
      <c r="N537" s="251"/>
      <c r="O537" s="184">
        <f t="shared" si="39"/>
        <v>20000</v>
      </c>
    </row>
    <row r="538" spans="1:15" s="198" customFormat="1" ht="42.75" customHeight="1">
      <c r="A538" s="197" t="s">
        <v>602</v>
      </c>
      <c r="B538" s="182" t="s">
        <v>801</v>
      </c>
      <c r="C538" s="182" t="s">
        <v>269</v>
      </c>
      <c r="D538" s="182" t="s">
        <v>187</v>
      </c>
      <c r="E538" s="182" t="s">
        <v>603</v>
      </c>
      <c r="F538" s="193"/>
      <c r="G538" s="184">
        <f>G539</f>
        <v>20000</v>
      </c>
      <c r="H538" s="251"/>
      <c r="I538" s="184">
        <f t="shared" si="41"/>
        <v>20000</v>
      </c>
      <c r="J538" s="184">
        <f>J539</f>
        <v>20000</v>
      </c>
      <c r="K538" s="251"/>
      <c r="L538" s="184">
        <f t="shared" si="40"/>
        <v>20000</v>
      </c>
      <c r="M538" s="184">
        <f>M539</f>
        <v>20000</v>
      </c>
      <c r="N538" s="251"/>
      <c r="O538" s="184">
        <f t="shared" si="39"/>
        <v>20000</v>
      </c>
    </row>
    <row r="539" spans="1:15" ht="25.5">
      <c r="A539" s="200" t="s">
        <v>604</v>
      </c>
      <c r="B539" s="182" t="s">
        <v>801</v>
      </c>
      <c r="C539" s="182" t="s">
        <v>269</v>
      </c>
      <c r="D539" s="182" t="s">
        <v>187</v>
      </c>
      <c r="E539" s="182" t="s">
        <v>605</v>
      </c>
      <c r="F539" s="193"/>
      <c r="G539" s="184">
        <f>G540</f>
        <v>20000</v>
      </c>
      <c r="H539" s="251"/>
      <c r="I539" s="184">
        <f t="shared" si="41"/>
        <v>20000</v>
      </c>
      <c r="J539" s="184">
        <f>J540</f>
        <v>20000</v>
      </c>
      <c r="K539" s="251"/>
      <c r="L539" s="184">
        <f t="shared" si="40"/>
        <v>20000</v>
      </c>
      <c r="M539" s="184">
        <f>M540</f>
        <v>20000</v>
      </c>
      <c r="N539" s="251"/>
      <c r="O539" s="184">
        <f t="shared" si="39"/>
        <v>20000</v>
      </c>
    </row>
    <row r="540" spans="1:15" ht="15">
      <c r="A540" s="200" t="s">
        <v>606</v>
      </c>
      <c r="B540" s="182" t="s">
        <v>801</v>
      </c>
      <c r="C540" s="182" t="s">
        <v>269</v>
      </c>
      <c r="D540" s="182" t="s">
        <v>187</v>
      </c>
      <c r="E540" s="182" t="s">
        <v>607</v>
      </c>
      <c r="F540" s="193"/>
      <c r="G540" s="184">
        <f>G541</f>
        <v>20000</v>
      </c>
      <c r="H540" s="251"/>
      <c r="I540" s="184">
        <f t="shared" si="41"/>
        <v>20000</v>
      </c>
      <c r="J540" s="184">
        <f>J541</f>
        <v>20000</v>
      </c>
      <c r="K540" s="251"/>
      <c r="L540" s="184">
        <f t="shared" si="40"/>
        <v>20000</v>
      </c>
      <c r="M540" s="184">
        <f>M541</f>
        <v>20000</v>
      </c>
      <c r="N540" s="251"/>
      <c r="O540" s="184">
        <f t="shared" si="39"/>
        <v>20000</v>
      </c>
    </row>
    <row r="541" spans="1:15" ht="24" customHeight="1">
      <c r="A541" s="192" t="s">
        <v>206</v>
      </c>
      <c r="B541" s="182" t="s">
        <v>801</v>
      </c>
      <c r="C541" s="182" t="s">
        <v>269</v>
      </c>
      <c r="D541" s="182" t="s">
        <v>187</v>
      </c>
      <c r="E541" s="182" t="s">
        <v>607</v>
      </c>
      <c r="F541" s="183" t="s">
        <v>207</v>
      </c>
      <c r="G541" s="184">
        <f>20000</f>
        <v>20000</v>
      </c>
      <c r="H541" s="251"/>
      <c r="I541" s="184">
        <f t="shared" si="41"/>
        <v>20000</v>
      </c>
      <c r="J541" s="184">
        <f>20000</f>
        <v>20000</v>
      </c>
      <c r="K541" s="251"/>
      <c r="L541" s="184">
        <f t="shared" si="40"/>
        <v>20000</v>
      </c>
      <c r="M541" s="184">
        <f>20000</f>
        <v>20000</v>
      </c>
      <c r="N541" s="251"/>
      <c r="O541" s="184">
        <f t="shared" si="39"/>
        <v>20000</v>
      </c>
    </row>
    <row r="542" spans="1:15" ht="38.25" hidden="1">
      <c r="A542" s="236" t="s">
        <v>774</v>
      </c>
      <c r="B542" s="182" t="s">
        <v>801</v>
      </c>
      <c r="C542" s="182" t="s">
        <v>269</v>
      </c>
      <c r="D542" s="182" t="s">
        <v>187</v>
      </c>
      <c r="E542" s="182" t="s">
        <v>775</v>
      </c>
      <c r="F542" s="183"/>
      <c r="G542" s="184">
        <f>G543</f>
        <v>0</v>
      </c>
      <c r="H542" s="251"/>
      <c r="I542" s="184">
        <f t="shared" si="41"/>
        <v>0</v>
      </c>
      <c r="J542" s="184">
        <f>J543</f>
        <v>0</v>
      </c>
      <c r="K542" s="251"/>
      <c r="L542" s="184">
        <f t="shared" si="40"/>
        <v>0</v>
      </c>
      <c r="M542" s="184">
        <f>M543</f>
        <v>0</v>
      </c>
      <c r="N542" s="251"/>
      <c r="O542" s="184">
        <f t="shared" si="39"/>
        <v>0</v>
      </c>
    </row>
    <row r="543" spans="1:15" ht="63.75" hidden="1">
      <c r="A543" s="192" t="s">
        <v>776</v>
      </c>
      <c r="B543" s="182" t="s">
        <v>801</v>
      </c>
      <c r="C543" s="182" t="s">
        <v>269</v>
      </c>
      <c r="D543" s="182" t="s">
        <v>187</v>
      </c>
      <c r="E543" s="182" t="s">
        <v>777</v>
      </c>
      <c r="F543" s="183"/>
      <c r="G543" s="184">
        <f>G544</f>
        <v>0</v>
      </c>
      <c r="H543" s="251"/>
      <c r="I543" s="184">
        <f t="shared" si="41"/>
        <v>0</v>
      </c>
      <c r="J543" s="184">
        <f>J544</f>
        <v>0</v>
      </c>
      <c r="K543" s="251"/>
      <c r="L543" s="184">
        <f t="shared" si="40"/>
        <v>0</v>
      </c>
      <c r="M543" s="184">
        <f>M544</f>
        <v>0</v>
      </c>
      <c r="N543" s="251"/>
      <c r="O543" s="184">
        <f t="shared" si="39"/>
        <v>0</v>
      </c>
    </row>
    <row r="544" spans="1:15" ht="25.5" hidden="1">
      <c r="A544" s="192" t="s">
        <v>778</v>
      </c>
      <c r="B544" s="182" t="s">
        <v>801</v>
      </c>
      <c r="C544" s="182" t="s">
        <v>269</v>
      </c>
      <c r="D544" s="182" t="s">
        <v>187</v>
      </c>
      <c r="E544" s="182" t="s">
        <v>779</v>
      </c>
      <c r="F544" s="183"/>
      <c r="G544" s="184">
        <f>G545</f>
        <v>0</v>
      </c>
      <c r="H544" s="251"/>
      <c r="I544" s="184">
        <f t="shared" si="41"/>
        <v>0</v>
      </c>
      <c r="J544" s="184">
        <f>J545</f>
        <v>0</v>
      </c>
      <c r="K544" s="251"/>
      <c r="L544" s="184">
        <f t="shared" si="40"/>
        <v>0</v>
      </c>
      <c r="M544" s="184">
        <f>M545</f>
        <v>0</v>
      </c>
      <c r="N544" s="251"/>
      <c r="O544" s="184">
        <f t="shared" si="39"/>
        <v>0</v>
      </c>
    </row>
    <row r="545" spans="1:15" ht="25.5" hidden="1">
      <c r="A545" s="199" t="s">
        <v>333</v>
      </c>
      <c r="B545" s="182" t="s">
        <v>801</v>
      </c>
      <c r="C545" s="182" t="s">
        <v>269</v>
      </c>
      <c r="D545" s="182" t="s">
        <v>187</v>
      </c>
      <c r="E545" s="182" t="s">
        <v>780</v>
      </c>
      <c r="F545" s="183"/>
      <c r="G545" s="184">
        <f>G546</f>
        <v>0</v>
      </c>
      <c r="H545" s="251"/>
      <c r="I545" s="184">
        <f t="shared" si="41"/>
        <v>0</v>
      </c>
      <c r="J545" s="184">
        <f>J546</f>
        <v>0</v>
      </c>
      <c r="K545" s="251"/>
      <c r="L545" s="184">
        <f t="shared" si="40"/>
        <v>0</v>
      </c>
      <c r="M545" s="184">
        <f>M546</f>
        <v>0</v>
      </c>
      <c r="N545" s="251"/>
      <c r="O545" s="184">
        <f t="shared" si="39"/>
        <v>0</v>
      </c>
    </row>
    <row r="546" spans="1:15" ht="25.5" hidden="1">
      <c r="A546" s="192" t="s">
        <v>206</v>
      </c>
      <c r="B546" s="182" t="s">
        <v>801</v>
      </c>
      <c r="C546" s="182" t="s">
        <v>269</v>
      </c>
      <c r="D546" s="182" t="s">
        <v>187</v>
      </c>
      <c r="E546" s="182" t="s">
        <v>780</v>
      </c>
      <c r="F546" s="183" t="s">
        <v>207</v>
      </c>
      <c r="G546" s="184"/>
      <c r="H546" s="251"/>
      <c r="I546" s="184">
        <f t="shared" si="41"/>
        <v>0</v>
      </c>
      <c r="J546" s="184"/>
      <c r="K546" s="251"/>
      <c r="L546" s="184">
        <f t="shared" si="40"/>
        <v>0</v>
      </c>
      <c r="M546" s="184"/>
      <c r="N546" s="251"/>
      <c r="O546" s="184">
        <f t="shared" si="39"/>
        <v>0</v>
      </c>
    </row>
    <row r="547" spans="1:15" ht="24.75" customHeight="1">
      <c r="A547" s="192" t="s">
        <v>608</v>
      </c>
      <c r="B547" s="182" t="s">
        <v>801</v>
      </c>
      <c r="C547" s="182" t="s">
        <v>269</v>
      </c>
      <c r="D547" s="182" t="s">
        <v>197</v>
      </c>
      <c r="E547" s="182"/>
      <c r="F547" s="183"/>
      <c r="G547" s="184">
        <f>G548</f>
        <v>50574096</v>
      </c>
      <c r="H547" s="251"/>
      <c r="I547" s="184">
        <f t="shared" si="41"/>
        <v>50574096</v>
      </c>
      <c r="J547" s="184">
        <f>J548</f>
        <v>46837690</v>
      </c>
      <c r="K547" s="251"/>
      <c r="L547" s="184">
        <f t="shared" si="40"/>
        <v>46837690</v>
      </c>
      <c r="M547" s="184">
        <f>M548</f>
        <v>47150232</v>
      </c>
      <c r="N547" s="251"/>
      <c r="O547" s="184">
        <f t="shared" si="39"/>
        <v>47150232</v>
      </c>
    </row>
    <row r="548" spans="1:15" ht="38.25" customHeight="1">
      <c r="A548" s="199" t="s">
        <v>301</v>
      </c>
      <c r="B548" s="182" t="s">
        <v>801</v>
      </c>
      <c r="C548" s="182" t="s">
        <v>269</v>
      </c>
      <c r="D548" s="182" t="s">
        <v>197</v>
      </c>
      <c r="E548" s="182" t="s">
        <v>302</v>
      </c>
      <c r="F548" s="183"/>
      <c r="G548" s="184">
        <f>G553+G549</f>
        <v>50574096</v>
      </c>
      <c r="H548" s="251"/>
      <c r="I548" s="184">
        <f t="shared" si="41"/>
        <v>50574096</v>
      </c>
      <c r="J548" s="184">
        <f>J553+J549</f>
        <v>46837690</v>
      </c>
      <c r="K548" s="251"/>
      <c r="L548" s="184">
        <f t="shared" si="40"/>
        <v>46837690</v>
      </c>
      <c r="M548" s="184">
        <f>M553+M549</f>
        <v>47150232</v>
      </c>
      <c r="N548" s="251"/>
      <c r="O548" s="184">
        <f>M548+N548</f>
        <v>47150232</v>
      </c>
    </row>
    <row r="549" spans="1:15" ht="38.25">
      <c r="A549" s="222" t="s">
        <v>529</v>
      </c>
      <c r="B549" s="182" t="s">
        <v>801</v>
      </c>
      <c r="C549" s="182" t="s">
        <v>269</v>
      </c>
      <c r="D549" s="182" t="s">
        <v>197</v>
      </c>
      <c r="E549" s="182" t="s">
        <v>530</v>
      </c>
      <c r="F549" s="183"/>
      <c r="G549" s="184">
        <f>G550</f>
        <v>29621689</v>
      </c>
      <c r="H549" s="251"/>
      <c r="I549" s="184">
        <f t="shared" si="41"/>
        <v>29621689</v>
      </c>
      <c r="J549" s="184">
        <f>J550</f>
        <v>29621689</v>
      </c>
      <c r="K549" s="251"/>
      <c r="L549" s="184">
        <f aca="true" t="shared" si="42" ref="L549:L576">J549+K549</f>
        <v>29621689</v>
      </c>
      <c r="M549" s="184">
        <f>M550</f>
        <v>29621689</v>
      </c>
      <c r="N549" s="251"/>
      <c r="O549" s="184">
        <f aca="true" t="shared" si="43" ref="O549:O576">M549+N549</f>
        <v>29621689</v>
      </c>
    </row>
    <row r="550" spans="1:15" ht="25.5">
      <c r="A550" s="199" t="s">
        <v>559</v>
      </c>
      <c r="B550" s="182" t="s">
        <v>801</v>
      </c>
      <c r="C550" s="182" t="s">
        <v>269</v>
      </c>
      <c r="D550" s="182" t="s">
        <v>197</v>
      </c>
      <c r="E550" s="182" t="s">
        <v>560</v>
      </c>
      <c r="F550" s="183"/>
      <c r="G550" s="184">
        <f>G551</f>
        <v>29621689</v>
      </c>
      <c r="H550" s="251"/>
      <c r="I550" s="184">
        <f t="shared" si="41"/>
        <v>29621689</v>
      </c>
      <c r="J550" s="184">
        <f>J551</f>
        <v>29621689</v>
      </c>
      <c r="K550" s="251"/>
      <c r="L550" s="184">
        <f t="shared" si="42"/>
        <v>29621689</v>
      </c>
      <c r="M550" s="184">
        <f>M551</f>
        <v>29621689</v>
      </c>
      <c r="N550" s="251"/>
      <c r="O550" s="184">
        <f t="shared" si="43"/>
        <v>29621689</v>
      </c>
    </row>
    <row r="551" spans="1:15" ht="63.75">
      <c r="A551" s="200" t="s">
        <v>571</v>
      </c>
      <c r="B551" s="182" t="s">
        <v>801</v>
      </c>
      <c r="C551" s="182" t="s">
        <v>269</v>
      </c>
      <c r="D551" s="182" t="s">
        <v>197</v>
      </c>
      <c r="E551" s="182" t="s">
        <v>572</v>
      </c>
      <c r="F551" s="183"/>
      <c r="G551" s="184">
        <f>G552</f>
        <v>29621689</v>
      </c>
      <c r="H551" s="251"/>
      <c r="I551" s="184">
        <f t="shared" si="41"/>
        <v>29621689</v>
      </c>
      <c r="J551" s="184">
        <f>J552</f>
        <v>29621689</v>
      </c>
      <c r="K551" s="251"/>
      <c r="L551" s="184">
        <f t="shared" si="42"/>
        <v>29621689</v>
      </c>
      <c r="M551" s="184">
        <f>M552</f>
        <v>29621689</v>
      </c>
      <c r="N551" s="251"/>
      <c r="O551" s="184">
        <f t="shared" si="43"/>
        <v>29621689</v>
      </c>
    </row>
    <row r="552" spans="1:15" ht="38.25">
      <c r="A552" s="192" t="s">
        <v>194</v>
      </c>
      <c r="B552" s="182" t="s">
        <v>801</v>
      </c>
      <c r="C552" s="182" t="s">
        <v>269</v>
      </c>
      <c r="D552" s="182" t="s">
        <v>197</v>
      </c>
      <c r="E552" s="182" t="s">
        <v>572</v>
      </c>
      <c r="F552" s="183" t="s">
        <v>195</v>
      </c>
      <c r="G552" s="184">
        <f>22750900+6870789</f>
        <v>29621689</v>
      </c>
      <c r="H552" s="251"/>
      <c r="I552" s="184">
        <f t="shared" si="41"/>
        <v>29621689</v>
      </c>
      <c r="J552" s="184">
        <f>22750900+6870789</f>
        <v>29621689</v>
      </c>
      <c r="K552" s="251"/>
      <c r="L552" s="184">
        <f t="shared" si="42"/>
        <v>29621689</v>
      </c>
      <c r="M552" s="184">
        <f>22750900+6870789</f>
        <v>29621689</v>
      </c>
      <c r="N552" s="251"/>
      <c r="O552" s="184">
        <f t="shared" si="43"/>
        <v>29621689</v>
      </c>
    </row>
    <row r="553" spans="1:15" s="198" customFormat="1" ht="40.5" customHeight="1">
      <c r="A553" s="192" t="s">
        <v>609</v>
      </c>
      <c r="B553" s="182" t="s">
        <v>801</v>
      </c>
      <c r="C553" s="182" t="s">
        <v>269</v>
      </c>
      <c r="D553" s="182" t="s">
        <v>197</v>
      </c>
      <c r="E553" s="182" t="s">
        <v>610</v>
      </c>
      <c r="F553" s="183"/>
      <c r="G553" s="184">
        <f>G554+G565+G560</f>
        <v>20952407</v>
      </c>
      <c r="H553" s="251"/>
      <c r="I553" s="184">
        <f t="shared" si="41"/>
        <v>20952407</v>
      </c>
      <c r="J553" s="184">
        <f>J554+J565+J560</f>
        <v>17216001</v>
      </c>
      <c r="K553" s="251"/>
      <c r="L553" s="184">
        <f t="shared" si="42"/>
        <v>17216001</v>
      </c>
      <c r="M553" s="184">
        <f>M554+M565+M560</f>
        <v>17528543</v>
      </c>
      <c r="N553" s="251"/>
      <c r="O553" s="184">
        <f t="shared" si="43"/>
        <v>17528543</v>
      </c>
    </row>
    <row r="554" spans="1:15" ht="25.5">
      <c r="A554" s="199" t="s">
        <v>611</v>
      </c>
      <c r="B554" s="182" t="s">
        <v>801</v>
      </c>
      <c r="C554" s="182" t="s">
        <v>269</v>
      </c>
      <c r="D554" s="182" t="s">
        <v>197</v>
      </c>
      <c r="E554" s="182" t="s">
        <v>612</v>
      </c>
      <c r="F554" s="183"/>
      <c r="G554" s="184">
        <f>G555</f>
        <v>19800360</v>
      </c>
      <c r="H554" s="251"/>
      <c r="I554" s="184">
        <f t="shared" si="41"/>
        <v>19800360</v>
      </c>
      <c r="J554" s="184">
        <f>J555</f>
        <v>16551716</v>
      </c>
      <c r="K554" s="251"/>
      <c r="L554" s="184">
        <f t="shared" si="42"/>
        <v>16551716</v>
      </c>
      <c r="M554" s="184">
        <f>M555</f>
        <v>16864258</v>
      </c>
      <c r="N554" s="251"/>
      <c r="O554" s="184">
        <f t="shared" si="43"/>
        <v>16864258</v>
      </c>
    </row>
    <row r="555" spans="1:15" ht="21.75" customHeight="1">
      <c r="A555" s="199" t="s">
        <v>366</v>
      </c>
      <c r="B555" s="182" t="s">
        <v>801</v>
      </c>
      <c r="C555" s="182" t="s">
        <v>269</v>
      </c>
      <c r="D555" s="182" t="s">
        <v>197</v>
      </c>
      <c r="E555" s="182" t="s">
        <v>613</v>
      </c>
      <c r="F555" s="183"/>
      <c r="G555" s="184">
        <f>G556+G557+G558+G559</f>
        <v>19800360</v>
      </c>
      <c r="H555" s="251"/>
      <c r="I555" s="184">
        <f t="shared" si="41"/>
        <v>19800360</v>
      </c>
      <c r="J555" s="184">
        <f>J556+J557+J558+J559</f>
        <v>16551716</v>
      </c>
      <c r="K555" s="251"/>
      <c r="L555" s="184">
        <f t="shared" si="42"/>
        <v>16551716</v>
      </c>
      <c r="M555" s="184">
        <f>M556+M557+M558+M559</f>
        <v>16864258</v>
      </c>
      <c r="N555" s="251"/>
      <c r="O555" s="184">
        <f t="shared" si="43"/>
        <v>16864258</v>
      </c>
    </row>
    <row r="556" spans="1:15" ht="38.25" hidden="1">
      <c r="A556" s="192" t="s">
        <v>194</v>
      </c>
      <c r="B556" s="182" t="s">
        <v>801</v>
      </c>
      <c r="C556" s="182" t="s">
        <v>269</v>
      </c>
      <c r="D556" s="182" t="s">
        <v>197</v>
      </c>
      <c r="E556" s="182" t="s">
        <v>613</v>
      </c>
      <c r="F556" s="183" t="s">
        <v>195</v>
      </c>
      <c r="G556" s="184"/>
      <c r="H556" s="251"/>
      <c r="I556" s="184">
        <f t="shared" si="41"/>
        <v>0</v>
      </c>
      <c r="J556" s="184"/>
      <c r="K556" s="251"/>
      <c r="L556" s="184">
        <f t="shared" si="42"/>
        <v>0</v>
      </c>
      <c r="M556" s="184"/>
      <c r="N556" s="251"/>
      <c r="O556" s="184">
        <f t="shared" si="43"/>
        <v>0</v>
      </c>
    </row>
    <row r="557" spans="1:15" ht="25.5" hidden="1">
      <c r="A557" s="192" t="s">
        <v>206</v>
      </c>
      <c r="B557" s="182" t="s">
        <v>801</v>
      </c>
      <c r="C557" s="182" t="s">
        <v>269</v>
      </c>
      <c r="D557" s="182" t="s">
        <v>197</v>
      </c>
      <c r="E557" s="182" t="s">
        <v>613</v>
      </c>
      <c r="F557" s="183" t="s">
        <v>207</v>
      </c>
      <c r="G557" s="184"/>
      <c r="H557" s="251"/>
      <c r="I557" s="184">
        <f t="shared" si="41"/>
        <v>0</v>
      </c>
      <c r="J557" s="184"/>
      <c r="K557" s="251"/>
      <c r="L557" s="184">
        <f t="shared" si="42"/>
        <v>0</v>
      </c>
      <c r="M557" s="184"/>
      <c r="N557" s="251"/>
      <c r="O557" s="184">
        <f t="shared" si="43"/>
        <v>0</v>
      </c>
    </row>
    <row r="558" spans="1:15" ht="15" hidden="1">
      <c r="A558" s="199" t="s">
        <v>429</v>
      </c>
      <c r="B558" s="182" t="s">
        <v>801</v>
      </c>
      <c r="C558" s="182" t="s">
        <v>269</v>
      </c>
      <c r="D558" s="182" t="s">
        <v>197</v>
      </c>
      <c r="E558" s="182" t="s">
        <v>613</v>
      </c>
      <c r="F558" s="183" t="s">
        <v>430</v>
      </c>
      <c r="G558" s="184"/>
      <c r="H558" s="251"/>
      <c r="I558" s="184">
        <f t="shared" si="41"/>
        <v>0</v>
      </c>
      <c r="J558" s="184"/>
      <c r="K558" s="251"/>
      <c r="L558" s="184">
        <f t="shared" si="42"/>
        <v>0</v>
      </c>
      <c r="M558" s="184"/>
      <c r="N558" s="251"/>
      <c r="O558" s="184">
        <f t="shared" si="43"/>
        <v>0</v>
      </c>
    </row>
    <row r="559" spans="1:15" ht="25.5">
      <c r="A559" s="199" t="s">
        <v>614</v>
      </c>
      <c r="B559" s="182" t="s">
        <v>801</v>
      </c>
      <c r="C559" s="182" t="s">
        <v>269</v>
      </c>
      <c r="D559" s="182" t="s">
        <v>197</v>
      </c>
      <c r="E559" s="182" t="s">
        <v>613</v>
      </c>
      <c r="F559" s="183" t="s">
        <v>615</v>
      </c>
      <c r="G559" s="184">
        <f>18839660+33300+414200+82000+431200</f>
        <v>19800360</v>
      </c>
      <c r="H559" s="251"/>
      <c r="I559" s="184">
        <f t="shared" si="41"/>
        <v>19800360</v>
      </c>
      <c r="J559" s="184">
        <f>18839660+33300+414200+82000+431200-3248644</f>
        <v>16551716</v>
      </c>
      <c r="K559" s="251"/>
      <c r="L559" s="184">
        <f t="shared" si="42"/>
        <v>16551716</v>
      </c>
      <c r="M559" s="184">
        <f>18839660+33300+414200+82000+431200-2936102</f>
        <v>16864258</v>
      </c>
      <c r="N559" s="251"/>
      <c r="O559" s="184">
        <f t="shared" si="43"/>
        <v>16864258</v>
      </c>
    </row>
    <row r="560" spans="1:15" ht="25.5">
      <c r="A560" s="191" t="s">
        <v>616</v>
      </c>
      <c r="B560" s="182" t="s">
        <v>801</v>
      </c>
      <c r="C560" s="182" t="s">
        <v>269</v>
      </c>
      <c r="D560" s="182" t="s">
        <v>197</v>
      </c>
      <c r="E560" s="182" t="s">
        <v>617</v>
      </c>
      <c r="F560" s="183"/>
      <c r="G560" s="184">
        <f>G561+G563</f>
        <v>1152047</v>
      </c>
      <c r="H560" s="251"/>
      <c r="I560" s="184">
        <f t="shared" si="41"/>
        <v>1152047</v>
      </c>
      <c r="J560" s="184">
        <f>J561+J563</f>
        <v>664285</v>
      </c>
      <c r="K560" s="251"/>
      <c r="L560" s="184">
        <f t="shared" si="42"/>
        <v>664285</v>
      </c>
      <c r="M560" s="184">
        <f>M561+M563</f>
        <v>664285</v>
      </c>
      <c r="N560" s="251"/>
      <c r="O560" s="184">
        <f t="shared" si="43"/>
        <v>664285</v>
      </c>
    </row>
    <row r="561" spans="1:15" ht="38.25">
      <c r="A561" s="199" t="s">
        <v>542</v>
      </c>
      <c r="B561" s="182" t="s">
        <v>801</v>
      </c>
      <c r="C561" s="182" t="s">
        <v>269</v>
      </c>
      <c r="D561" s="182" t="s">
        <v>197</v>
      </c>
      <c r="E561" s="182" t="s">
        <v>618</v>
      </c>
      <c r="F561" s="183"/>
      <c r="G561" s="184">
        <f>G562</f>
        <v>1038665</v>
      </c>
      <c r="H561" s="251"/>
      <c r="I561" s="184">
        <f t="shared" si="41"/>
        <v>1038665</v>
      </c>
      <c r="J561" s="184">
        <f>J562</f>
        <v>559289</v>
      </c>
      <c r="K561" s="251"/>
      <c r="L561" s="184">
        <f t="shared" si="42"/>
        <v>559289</v>
      </c>
      <c r="M561" s="184">
        <f>M562</f>
        <v>559289</v>
      </c>
      <c r="N561" s="251"/>
      <c r="O561" s="184">
        <f t="shared" si="43"/>
        <v>559289</v>
      </c>
    </row>
    <row r="562" spans="1:15" ht="30" customHeight="1">
      <c r="A562" s="199" t="s">
        <v>614</v>
      </c>
      <c r="B562" s="182" t="s">
        <v>801</v>
      </c>
      <c r="C562" s="182" t="s">
        <v>269</v>
      </c>
      <c r="D562" s="182" t="s">
        <v>197</v>
      </c>
      <c r="E562" s="182" t="s">
        <v>618</v>
      </c>
      <c r="F562" s="183" t="s">
        <v>615</v>
      </c>
      <c r="G562" s="184">
        <v>1038665</v>
      </c>
      <c r="H562" s="251"/>
      <c r="I562" s="184">
        <f t="shared" si="41"/>
        <v>1038665</v>
      </c>
      <c r="J562" s="184">
        <v>559289</v>
      </c>
      <c r="K562" s="251"/>
      <c r="L562" s="184">
        <f t="shared" si="42"/>
        <v>559289</v>
      </c>
      <c r="M562" s="184">
        <v>559289</v>
      </c>
      <c r="N562" s="251"/>
      <c r="O562" s="184">
        <f t="shared" si="43"/>
        <v>559289</v>
      </c>
    </row>
    <row r="563" spans="1:19" ht="66" customHeight="1">
      <c r="A563" s="199" t="s">
        <v>586</v>
      </c>
      <c r="B563" s="182" t="s">
        <v>801</v>
      </c>
      <c r="C563" s="182" t="s">
        <v>269</v>
      </c>
      <c r="D563" s="182" t="s">
        <v>197</v>
      </c>
      <c r="E563" s="182" t="s">
        <v>619</v>
      </c>
      <c r="F563" s="183"/>
      <c r="G563" s="184">
        <f>G564</f>
        <v>113382</v>
      </c>
      <c r="H563" s="251"/>
      <c r="I563" s="184">
        <f t="shared" si="41"/>
        <v>113382</v>
      </c>
      <c r="J563" s="184">
        <f>J564</f>
        <v>104996</v>
      </c>
      <c r="K563" s="251"/>
      <c r="L563" s="184">
        <f t="shared" si="42"/>
        <v>104996</v>
      </c>
      <c r="M563" s="184">
        <f>M564</f>
        <v>104996</v>
      </c>
      <c r="N563" s="251"/>
      <c r="O563" s="184">
        <f t="shared" si="43"/>
        <v>104996</v>
      </c>
      <c r="Q563" s="174"/>
      <c r="R563" s="174"/>
      <c r="S563" s="174"/>
    </row>
    <row r="564" spans="1:15" ht="33.75" customHeight="1">
      <c r="A564" s="199" t="s">
        <v>614</v>
      </c>
      <c r="B564" s="182" t="s">
        <v>801</v>
      </c>
      <c r="C564" s="182" t="s">
        <v>269</v>
      </c>
      <c r="D564" s="182" t="s">
        <v>197</v>
      </c>
      <c r="E564" s="182" t="s">
        <v>619</v>
      </c>
      <c r="F564" s="183" t="s">
        <v>615</v>
      </c>
      <c r="G564" s="184">
        <v>113382</v>
      </c>
      <c r="H564" s="251"/>
      <c r="I564" s="184">
        <f t="shared" si="41"/>
        <v>113382</v>
      </c>
      <c r="J564" s="184">
        <v>104996</v>
      </c>
      <c r="K564" s="251"/>
      <c r="L564" s="184">
        <f t="shared" si="42"/>
        <v>104996</v>
      </c>
      <c r="M564" s="184">
        <v>104996</v>
      </c>
      <c r="N564" s="251"/>
      <c r="O564" s="184">
        <f t="shared" si="43"/>
        <v>104996</v>
      </c>
    </row>
    <row r="565" spans="1:15" ht="25.5" hidden="1">
      <c r="A565" s="199" t="s">
        <v>781</v>
      </c>
      <c r="B565" s="182" t="s">
        <v>801</v>
      </c>
      <c r="C565" s="182" t="s">
        <v>269</v>
      </c>
      <c r="D565" s="182" t="s">
        <v>197</v>
      </c>
      <c r="E565" s="182" t="s">
        <v>782</v>
      </c>
      <c r="F565" s="183"/>
      <c r="G565" s="184">
        <f>G566</f>
        <v>0</v>
      </c>
      <c r="H565" s="251"/>
      <c r="I565" s="184">
        <f t="shared" si="41"/>
        <v>0</v>
      </c>
      <c r="J565" s="184">
        <f>J566</f>
        <v>0</v>
      </c>
      <c r="K565" s="251"/>
      <c r="L565" s="184">
        <f t="shared" si="42"/>
        <v>0</v>
      </c>
      <c r="M565" s="184">
        <f>M566</f>
        <v>0</v>
      </c>
      <c r="N565" s="251"/>
      <c r="O565" s="184">
        <f t="shared" si="43"/>
        <v>0</v>
      </c>
    </row>
    <row r="566" spans="1:15" ht="18.75" customHeight="1" hidden="1">
      <c r="A566" s="199" t="s">
        <v>366</v>
      </c>
      <c r="B566" s="182" t="s">
        <v>801</v>
      </c>
      <c r="C566" s="182" t="s">
        <v>269</v>
      </c>
      <c r="D566" s="182" t="s">
        <v>197</v>
      </c>
      <c r="E566" s="182" t="s">
        <v>783</v>
      </c>
      <c r="F566" s="183"/>
      <c r="G566" s="184">
        <f>G567+G568</f>
        <v>0</v>
      </c>
      <c r="H566" s="251"/>
      <c r="I566" s="184">
        <f t="shared" si="41"/>
        <v>0</v>
      </c>
      <c r="J566" s="184">
        <f>J567+J568</f>
        <v>0</v>
      </c>
      <c r="K566" s="251"/>
      <c r="L566" s="184">
        <f t="shared" si="42"/>
        <v>0</v>
      </c>
      <c r="M566" s="184">
        <f>M567+M568</f>
        <v>0</v>
      </c>
      <c r="N566" s="251"/>
      <c r="O566" s="184">
        <f t="shared" si="43"/>
        <v>0</v>
      </c>
    </row>
    <row r="567" spans="1:15" ht="18.75" customHeight="1" hidden="1">
      <c r="A567" s="199" t="s">
        <v>614</v>
      </c>
      <c r="B567" s="182" t="s">
        <v>801</v>
      </c>
      <c r="C567" s="182" t="s">
        <v>269</v>
      </c>
      <c r="D567" s="182" t="s">
        <v>197</v>
      </c>
      <c r="E567" s="182" t="s">
        <v>783</v>
      </c>
      <c r="F567" s="183" t="s">
        <v>615</v>
      </c>
      <c r="G567" s="184"/>
      <c r="H567" s="251"/>
      <c r="I567" s="184">
        <f t="shared" si="41"/>
        <v>0</v>
      </c>
      <c r="J567" s="184"/>
      <c r="K567" s="251"/>
      <c r="L567" s="184">
        <f t="shared" si="42"/>
        <v>0</v>
      </c>
      <c r="M567" s="184"/>
      <c r="N567" s="251"/>
      <c r="O567" s="184">
        <f t="shared" si="43"/>
        <v>0</v>
      </c>
    </row>
    <row r="568" spans="1:15" ht="18" customHeight="1" hidden="1">
      <c r="A568" s="192" t="s">
        <v>274</v>
      </c>
      <c r="B568" s="182" t="s">
        <v>801</v>
      </c>
      <c r="C568" s="182" t="s">
        <v>269</v>
      </c>
      <c r="D568" s="182" t="s">
        <v>197</v>
      </c>
      <c r="E568" s="182" t="s">
        <v>783</v>
      </c>
      <c r="F568" s="183" t="s">
        <v>275</v>
      </c>
      <c r="G568" s="184"/>
      <c r="H568" s="251"/>
      <c r="I568" s="184">
        <f t="shared" si="41"/>
        <v>0</v>
      </c>
      <c r="J568" s="184"/>
      <c r="K568" s="251"/>
      <c r="L568" s="184">
        <f>J568+K568</f>
        <v>0</v>
      </c>
      <c r="M568" s="184"/>
      <c r="N568" s="251"/>
      <c r="O568" s="184">
        <f>M568+N568</f>
        <v>0</v>
      </c>
    </row>
    <row r="569" spans="1:19" ht="20.25" customHeight="1">
      <c r="A569" s="199" t="s">
        <v>629</v>
      </c>
      <c r="B569" s="182" t="s">
        <v>801</v>
      </c>
      <c r="C569" s="182" t="s">
        <v>269</v>
      </c>
      <c r="D569" s="182" t="s">
        <v>407</v>
      </c>
      <c r="E569" s="182"/>
      <c r="F569" s="183"/>
      <c r="G569" s="184">
        <f>G570+G577</f>
        <v>7380457</v>
      </c>
      <c r="H569" s="184">
        <f>H570+H577</f>
        <v>0</v>
      </c>
      <c r="I569" s="184">
        <f t="shared" si="41"/>
        <v>7380457</v>
      </c>
      <c r="J569" s="184">
        <f>J570+J577</f>
        <v>6054461</v>
      </c>
      <c r="K569" s="184">
        <f>K570+K577</f>
        <v>0</v>
      </c>
      <c r="L569" s="184">
        <f t="shared" si="42"/>
        <v>6054461</v>
      </c>
      <c r="M569" s="184">
        <f>M570+M577</f>
        <v>6138569</v>
      </c>
      <c r="N569" s="184">
        <f>N570+N577</f>
        <v>0</v>
      </c>
      <c r="O569" s="184">
        <f t="shared" si="43"/>
        <v>6138569</v>
      </c>
      <c r="Q569" s="194"/>
      <c r="R569" s="194"/>
      <c r="S569" s="194"/>
    </row>
    <row r="570" spans="1:15" ht="29.25" customHeight="1">
      <c r="A570" s="199" t="s">
        <v>301</v>
      </c>
      <c r="B570" s="182" t="s">
        <v>801</v>
      </c>
      <c r="C570" s="182" t="s">
        <v>269</v>
      </c>
      <c r="D570" s="182" t="s">
        <v>407</v>
      </c>
      <c r="E570" s="182" t="s">
        <v>302</v>
      </c>
      <c r="F570" s="183"/>
      <c r="G570" s="184">
        <f aca="true" t="shared" si="44" ref="G570:H572">G571</f>
        <v>5355693</v>
      </c>
      <c r="H570" s="184">
        <f t="shared" si="44"/>
        <v>0</v>
      </c>
      <c r="I570" s="184">
        <f t="shared" si="41"/>
        <v>5355693</v>
      </c>
      <c r="J570" s="184">
        <f aca="true" t="shared" si="45" ref="J570:K572">J571</f>
        <v>4611704</v>
      </c>
      <c r="K570" s="184">
        <f t="shared" si="45"/>
        <v>0</v>
      </c>
      <c r="L570" s="184">
        <f t="shared" si="42"/>
        <v>4611704</v>
      </c>
      <c r="M570" s="184">
        <f aca="true" t="shared" si="46" ref="M570:N572">M571</f>
        <v>4683281</v>
      </c>
      <c r="N570" s="184">
        <f t="shared" si="46"/>
        <v>0</v>
      </c>
      <c r="O570" s="184">
        <f t="shared" si="43"/>
        <v>4683281</v>
      </c>
    </row>
    <row r="571" spans="1:15" ht="45" customHeight="1">
      <c r="A571" s="209" t="s">
        <v>303</v>
      </c>
      <c r="B571" s="182" t="s">
        <v>801</v>
      </c>
      <c r="C571" s="182" t="s">
        <v>269</v>
      </c>
      <c r="D571" s="182" t="s">
        <v>407</v>
      </c>
      <c r="E571" s="182" t="s">
        <v>304</v>
      </c>
      <c r="F571" s="183"/>
      <c r="G571" s="184">
        <f t="shared" si="44"/>
        <v>5355693</v>
      </c>
      <c r="H571" s="184">
        <f t="shared" si="44"/>
        <v>0</v>
      </c>
      <c r="I571" s="184">
        <f t="shared" si="41"/>
        <v>5355693</v>
      </c>
      <c r="J571" s="184">
        <f t="shared" si="45"/>
        <v>4611704</v>
      </c>
      <c r="K571" s="184">
        <f t="shared" si="45"/>
        <v>0</v>
      </c>
      <c r="L571" s="184">
        <f t="shared" si="42"/>
        <v>4611704</v>
      </c>
      <c r="M571" s="184">
        <f t="shared" si="46"/>
        <v>4683281</v>
      </c>
      <c r="N571" s="184">
        <f t="shared" si="46"/>
        <v>0</v>
      </c>
      <c r="O571" s="184">
        <f t="shared" si="43"/>
        <v>4683281</v>
      </c>
    </row>
    <row r="572" spans="1:15" ht="32.25" customHeight="1">
      <c r="A572" s="199" t="s">
        <v>630</v>
      </c>
      <c r="B572" s="182" t="s">
        <v>801</v>
      </c>
      <c r="C572" s="182" t="s">
        <v>269</v>
      </c>
      <c r="D572" s="182" t="s">
        <v>407</v>
      </c>
      <c r="E572" s="182" t="s">
        <v>631</v>
      </c>
      <c r="F572" s="183"/>
      <c r="G572" s="184">
        <f t="shared" si="44"/>
        <v>5355693</v>
      </c>
      <c r="H572" s="184">
        <f t="shared" si="44"/>
        <v>0</v>
      </c>
      <c r="I572" s="184">
        <f t="shared" si="41"/>
        <v>5355693</v>
      </c>
      <c r="J572" s="184">
        <f t="shared" si="45"/>
        <v>4611704</v>
      </c>
      <c r="K572" s="184">
        <f t="shared" si="45"/>
        <v>0</v>
      </c>
      <c r="L572" s="184">
        <f t="shared" si="42"/>
        <v>4611704</v>
      </c>
      <c r="M572" s="184">
        <f t="shared" si="46"/>
        <v>4683281</v>
      </c>
      <c r="N572" s="184">
        <f t="shared" si="46"/>
        <v>0</v>
      </c>
      <c r="O572" s="184">
        <f t="shared" si="43"/>
        <v>4683281</v>
      </c>
    </row>
    <row r="573" spans="1:15" ht="20.25" customHeight="1">
      <c r="A573" s="199" t="s">
        <v>366</v>
      </c>
      <c r="B573" s="182" t="s">
        <v>801</v>
      </c>
      <c r="C573" s="182" t="s">
        <v>269</v>
      </c>
      <c r="D573" s="182" t="s">
        <v>407</v>
      </c>
      <c r="E573" s="182" t="s">
        <v>632</v>
      </c>
      <c r="F573" s="183"/>
      <c r="G573" s="184">
        <f>G574+G575+G576</f>
        <v>5355693</v>
      </c>
      <c r="H573" s="184">
        <f>H574+H575+H576</f>
        <v>0</v>
      </c>
      <c r="I573" s="184">
        <f t="shared" si="41"/>
        <v>5355693</v>
      </c>
      <c r="J573" s="184">
        <f>J574+J575+J576</f>
        <v>4611704</v>
      </c>
      <c r="K573" s="184">
        <f>K574+K575+K576</f>
        <v>0</v>
      </c>
      <c r="L573" s="184">
        <f t="shared" si="42"/>
        <v>4611704</v>
      </c>
      <c r="M573" s="184">
        <f>M574+M575+M576</f>
        <v>4683281</v>
      </c>
      <c r="N573" s="184">
        <f>N574+N575+N576</f>
        <v>0</v>
      </c>
      <c r="O573" s="184">
        <f t="shared" si="43"/>
        <v>4683281</v>
      </c>
    </row>
    <row r="574" spans="1:15" ht="41.25" customHeight="1">
      <c r="A574" s="192" t="s">
        <v>194</v>
      </c>
      <c r="B574" s="182" t="s">
        <v>801</v>
      </c>
      <c r="C574" s="182" t="s">
        <v>269</v>
      </c>
      <c r="D574" s="182" t="s">
        <v>407</v>
      </c>
      <c r="E574" s="182" t="s">
        <v>632</v>
      </c>
      <c r="F574" s="183" t="s">
        <v>195</v>
      </c>
      <c r="G574" s="184">
        <v>4314571</v>
      </c>
      <c r="H574" s="251"/>
      <c r="I574" s="184">
        <f t="shared" si="41"/>
        <v>4314571</v>
      </c>
      <c r="J574" s="184">
        <v>3570582</v>
      </c>
      <c r="K574" s="251"/>
      <c r="L574" s="184">
        <f t="shared" si="42"/>
        <v>3570582</v>
      </c>
      <c r="M574" s="184">
        <v>3642159</v>
      </c>
      <c r="N574" s="251"/>
      <c r="O574" s="184">
        <f t="shared" si="43"/>
        <v>3642159</v>
      </c>
    </row>
    <row r="575" spans="1:15" ht="27" customHeight="1">
      <c r="A575" s="192" t="s">
        <v>206</v>
      </c>
      <c r="B575" s="182" t="s">
        <v>801</v>
      </c>
      <c r="C575" s="182" t="s">
        <v>269</v>
      </c>
      <c r="D575" s="182" t="s">
        <v>407</v>
      </c>
      <c r="E575" s="182" t="s">
        <v>632</v>
      </c>
      <c r="F575" s="183" t="s">
        <v>207</v>
      </c>
      <c r="G575" s="184">
        <f>2470+155180+870950</f>
        <v>1028600</v>
      </c>
      <c r="H575" s="251"/>
      <c r="I575" s="184">
        <f t="shared" si="41"/>
        <v>1028600</v>
      </c>
      <c r="J575" s="184">
        <f>2470+155180+870950</f>
        <v>1028600</v>
      </c>
      <c r="K575" s="251"/>
      <c r="L575" s="184">
        <f t="shared" si="42"/>
        <v>1028600</v>
      </c>
      <c r="M575" s="184">
        <f>2470+155180+870950</f>
        <v>1028600</v>
      </c>
      <c r="N575" s="251"/>
      <c r="O575" s="184">
        <f t="shared" si="43"/>
        <v>1028600</v>
      </c>
    </row>
    <row r="576" spans="1:15" ht="21.75" customHeight="1">
      <c r="A576" s="199" t="s">
        <v>274</v>
      </c>
      <c r="B576" s="182" t="s">
        <v>801</v>
      </c>
      <c r="C576" s="182" t="s">
        <v>269</v>
      </c>
      <c r="D576" s="182" t="s">
        <v>407</v>
      </c>
      <c r="E576" s="182" t="s">
        <v>632</v>
      </c>
      <c r="F576" s="183" t="s">
        <v>275</v>
      </c>
      <c r="G576" s="184">
        <f>4124+8398</f>
        <v>12522</v>
      </c>
      <c r="H576" s="251"/>
      <c r="I576" s="184">
        <f t="shared" si="41"/>
        <v>12522</v>
      </c>
      <c r="J576" s="184">
        <f>4124+8398</f>
        <v>12522</v>
      </c>
      <c r="K576" s="251"/>
      <c r="L576" s="184">
        <f t="shared" si="42"/>
        <v>12522</v>
      </c>
      <c r="M576" s="184">
        <f>4124+8398</f>
        <v>12522</v>
      </c>
      <c r="N576" s="251"/>
      <c r="O576" s="184">
        <f t="shared" si="43"/>
        <v>12522</v>
      </c>
    </row>
    <row r="577" spans="1:15" ht="42.75" customHeight="1">
      <c r="A577" s="199" t="s">
        <v>621</v>
      </c>
      <c r="B577" s="182" t="s">
        <v>801</v>
      </c>
      <c r="C577" s="182" t="s">
        <v>269</v>
      </c>
      <c r="D577" s="182" t="s">
        <v>407</v>
      </c>
      <c r="E577" s="207" t="s">
        <v>622</v>
      </c>
      <c r="F577" s="183"/>
      <c r="G577" s="184">
        <f>G578</f>
        <v>2024764</v>
      </c>
      <c r="H577" s="184">
        <f>H578</f>
        <v>0</v>
      </c>
      <c r="I577" s="184">
        <f t="shared" si="41"/>
        <v>2024764</v>
      </c>
      <c r="J577" s="184">
        <f>J578</f>
        <v>1442757</v>
      </c>
      <c r="K577" s="184">
        <f>K578</f>
        <v>0</v>
      </c>
      <c r="L577" s="184">
        <f>J577+K577</f>
        <v>1442757</v>
      </c>
      <c r="M577" s="184">
        <f>M578</f>
        <v>1455288</v>
      </c>
      <c r="N577" s="184">
        <f>N578</f>
        <v>0</v>
      </c>
      <c r="O577" s="184">
        <f>M577+N577</f>
        <v>1455288</v>
      </c>
    </row>
    <row r="578" spans="1:15" ht="55.5" customHeight="1">
      <c r="A578" s="211" t="s">
        <v>633</v>
      </c>
      <c r="B578" s="182" t="s">
        <v>801</v>
      </c>
      <c r="C578" s="182" t="s">
        <v>269</v>
      </c>
      <c r="D578" s="182" t="s">
        <v>407</v>
      </c>
      <c r="E578" s="207" t="s">
        <v>634</v>
      </c>
      <c r="F578" s="210"/>
      <c r="G578" s="184">
        <f>G579+G586+G589</f>
        <v>2024764</v>
      </c>
      <c r="H578" s="184">
        <f>H579+H586+H589</f>
        <v>0</v>
      </c>
      <c r="I578" s="184">
        <f t="shared" si="41"/>
        <v>2024764</v>
      </c>
      <c r="J578" s="184">
        <f>J579+J586+J589</f>
        <v>1442757</v>
      </c>
      <c r="K578" s="184">
        <f>K579+K586+K589</f>
        <v>0</v>
      </c>
      <c r="L578" s="184">
        <f>J578+K578</f>
        <v>1442757</v>
      </c>
      <c r="M578" s="184">
        <f>M579+M586+M589</f>
        <v>1455288</v>
      </c>
      <c r="N578" s="184">
        <f>N579+N586+N589</f>
        <v>0</v>
      </c>
      <c r="O578" s="184">
        <f>M578+N578</f>
        <v>1455288</v>
      </c>
    </row>
    <row r="579" spans="1:15" ht="31.5" customHeight="1">
      <c r="A579" s="199" t="s">
        <v>635</v>
      </c>
      <c r="B579" s="182" t="s">
        <v>801</v>
      </c>
      <c r="C579" s="182" t="s">
        <v>269</v>
      </c>
      <c r="D579" s="182" t="s">
        <v>407</v>
      </c>
      <c r="E579" s="207" t="s">
        <v>636</v>
      </c>
      <c r="F579" s="210"/>
      <c r="G579" s="184">
        <f>G580+G583</f>
        <v>1269424</v>
      </c>
      <c r="H579" s="251"/>
      <c r="I579" s="184">
        <f t="shared" si="41"/>
        <v>1269424</v>
      </c>
      <c r="J579" s="184">
        <f>J580+J583</f>
        <v>817665</v>
      </c>
      <c r="K579" s="251"/>
      <c r="L579" s="184">
        <f aca="true" t="shared" si="47" ref="L579:L596">J579+K579</f>
        <v>817665</v>
      </c>
      <c r="M579" s="184">
        <f>M580+M583</f>
        <v>817665</v>
      </c>
      <c r="N579" s="251"/>
      <c r="O579" s="184">
        <f aca="true" t="shared" si="48" ref="O579:O596">M579+N579</f>
        <v>817665</v>
      </c>
    </row>
    <row r="580" spans="1:15" ht="15">
      <c r="A580" s="199" t="s">
        <v>637</v>
      </c>
      <c r="B580" s="182" t="s">
        <v>801</v>
      </c>
      <c r="C580" s="182" t="s">
        <v>269</v>
      </c>
      <c r="D580" s="182" t="s">
        <v>407</v>
      </c>
      <c r="E580" s="207" t="s">
        <v>638</v>
      </c>
      <c r="F580" s="183"/>
      <c r="G580" s="184">
        <f>G581+G582</f>
        <v>451759</v>
      </c>
      <c r="H580" s="251"/>
      <c r="I580" s="184">
        <f t="shared" si="41"/>
        <v>451759</v>
      </c>
      <c r="J580" s="184">
        <f>J581+J582</f>
        <v>0</v>
      </c>
      <c r="K580" s="251"/>
      <c r="L580" s="184">
        <f t="shared" si="47"/>
        <v>0</v>
      </c>
      <c r="M580" s="184">
        <f>M581+M582</f>
        <v>0</v>
      </c>
      <c r="N580" s="251"/>
      <c r="O580" s="184">
        <f t="shared" si="48"/>
        <v>0</v>
      </c>
    </row>
    <row r="581" spans="1:15" ht="18" customHeight="1">
      <c r="A581" s="192" t="s">
        <v>206</v>
      </c>
      <c r="B581" s="182" t="s">
        <v>801</v>
      </c>
      <c r="C581" s="182" t="s">
        <v>269</v>
      </c>
      <c r="D581" s="182" t="s">
        <v>407</v>
      </c>
      <c r="E581" s="207" t="s">
        <v>638</v>
      </c>
      <c r="F581" s="210" t="s">
        <v>207</v>
      </c>
      <c r="G581" s="184">
        <v>451759</v>
      </c>
      <c r="H581" s="251"/>
      <c r="I581" s="184">
        <f t="shared" si="41"/>
        <v>451759</v>
      </c>
      <c r="J581" s="184">
        <v>0</v>
      </c>
      <c r="K581" s="251"/>
      <c r="L581" s="184">
        <f t="shared" si="47"/>
        <v>0</v>
      </c>
      <c r="M581" s="184">
        <v>0</v>
      </c>
      <c r="N581" s="251"/>
      <c r="O581" s="184">
        <f t="shared" si="48"/>
        <v>0</v>
      </c>
    </row>
    <row r="582" spans="1:15" ht="15" hidden="1">
      <c r="A582" s="223" t="s">
        <v>244</v>
      </c>
      <c r="B582" s="182" t="s">
        <v>801</v>
      </c>
      <c r="C582" s="182" t="s">
        <v>269</v>
      </c>
      <c r="D582" s="182" t="s">
        <v>407</v>
      </c>
      <c r="E582" s="207" t="s">
        <v>638</v>
      </c>
      <c r="F582" s="210" t="s">
        <v>245</v>
      </c>
      <c r="G582" s="184"/>
      <c r="H582" s="251"/>
      <c r="I582" s="184">
        <f t="shared" si="41"/>
        <v>0</v>
      </c>
      <c r="J582" s="184"/>
      <c r="K582" s="251"/>
      <c r="L582" s="184">
        <f t="shared" si="47"/>
        <v>0</v>
      </c>
      <c r="M582" s="184"/>
      <c r="N582" s="251"/>
      <c r="O582" s="184">
        <f t="shared" si="48"/>
        <v>0</v>
      </c>
    </row>
    <row r="583" spans="1:15" ht="23.25" customHeight="1">
      <c r="A583" s="200" t="s">
        <v>639</v>
      </c>
      <c r="B583" s="182" t="s">
        <v>801</v>
      </c>
      <c r="C583" s="182" t="s">
        <v>269</v>
      </c>
      <c r="D583" s="182" t="s">
        <v>407</v>
      </c>
      <c r="E583" s="207" t="s">
        <v>640</v>
      </c>
      <c r="F583" s="183"/>
      <c r="G583" s="184">
        <f>G584+G585</f>
        <v>817665</v>
      </c>
      <c r="H583" s="251"/>
      <c r="I583" s="184">
        <f t="shared" si="41"/>
        <v>817665</v>
      </c>
      <c r="J583" s="184">
        <f>J584+J585</f>
        <v>817665</v>
      </c>
      <c r="K583" s="251"/>
      <c r="L583" s="184">
        <f t="shared" si="47"/>
        <v>817665</v>
      </c>
      <c r="M583" s="184">
        <f>M584+M585</f>
        <v>817665</v>
      </c>
      <c r="N583" s="251"/>
      <c r="O583" s="184">
        <f t="shared" si="48"/>
        <v>817665</v>
      </c>
    </row>
    <row r="584" spans="1:15" ht="22.5" customHeight="1">
      <c r="A584" s="192" t="s">
        <v>206</v>
      </c>
      <c r="B584" s="182" t="s">
        <v>801</v>
      </c>
      <c r="C584" s="182" t="s">
        <v>269</v>
      </c>
      <c r="D584" s="182" t="s">
        <v>407</v>
      </c>
      <c r="E584" s="207" t="s">
        <v>640</v>
      </c>
      <c r="F584" s="210" t="s">
        <v>207</v>
      </c>
      <c r="G584" s="184">
        <v>817665</v>
      </c>
      <c r="H584" s="251"/>
      <c r="I584" s="184">
        <f t="shared" si="41"/>
        <v>817665</v>
      </c>
      <c r="J584" s="184">
        <v>817665</v>
      </c>
      <c r="K584" s="251"/>
      <c r="L584" s="184">
        <f t="shared" si="47"/>
        <v>817665</v>
      </c>
      <c r="M584" s="184">
        <v>817665</v>
      </c>
      <c r="N584" s="251"/>
      <c r="O584" s="184">
        <f t="shared" si="48"/>
        <v>817665</v>
      </c>
    </row>
    <row r="585" spans="1:15" ht="15" hidden="1">
      <c r="A585" s="223" t="s">
        <v>244</v>
      </c>
      <c r="B585" s="182" t="s">
        <v>801</v>
      </c>
      <c r="C585" s="182" t="s">
        <v>269</v>
      </c>
      <c r="D585" s="182" t="s">
        <v>407</v>
      </c>
      <c r="E585" s="207" t="s">
        <v>640</v>
      </c>
      <c r="F585" s="210" t="s">
        <v>245</v>
      </c>
      <c r="G585" s="184"/>
      <c r="H585" s="251"/>
      <c r="I585" s="184">
        <f t="shared" si="41"/>
        <v>0</v>
      </c>
      <c r="J585" s="184"/>
      <c r="K585" s="251"/>
      <c r="L585" s="184">
        <f t="shared" si="47"/>
        <v>0</v>
      </c>
      <c r="M585" s="184"/>
      <c r="N585" s="251"/>
      <c r="O585" s="184">
        <f t="shared" si="48"/>
        <v>0</v>
      </c>
    </row>
    <row r="586" spans="1:15" ht="15" hidden="1">
      <c r="A586" s="199" t="s">
        <v>802</v>
      </c>
      <c r="B586" s="182" t="s">
        <v>801</v>
      </c>
      <c r="C586" s="182" t="s">
        <v>269</v>
      </c>
      <c r="D586" s="182" t="s">
        <v>407</v>
      </c>
      <c r="E586" s="207" t="s">
        <v>803</v>
      </c>
      <c r="F586" s="210"/>
      <c r="G586" s="184">
        <f>G587</f>
        <v>0</v>
      </c>
      <c r="H586" s="251"/>
      <c r="I586" s="184">
        <f t="shared" si="41"/>
        <v>0</v>
      </c>
      <c r="J586" s="184">
        <f>J587</f>
        <v>0</v>
      </c>
      <c r="K586" s="251"/>
      <c r="L586" s="184">
        <f t="shared" si="47"/>
        <v>0</v>
      </c>
      <c r="M586" s="184">
        <f>M587</f>
        <v>0</v>
      </c>
      <c r="N586" s="251"/>
      <c r="O586" s="184">
        <f t="shared" si="48"/>
        <v>0</v>
      </c>
    </row>
    <row r="587" spans="1:15" ht="15" hidden="1">
      <c r="A587" s="192" t="s">
        <v>804</v>
      </c>
      <c r="B587" s="182" t="s">
        <v>801</v>
      </c>
      <c r="C587" s="182" t="s">
        <v>269</v>
      </c>
      <c r="D587" s="182" t="s">
        <v>407</v>
      </c>
      <c r="E587" s="207" t="s">
        <v>805</v>
      </c>
      <c r="F587" s="210"/>
      <c r="G587" s="184">
        <f>G588</f>
        <v>0</v>
      </c>
      <c r="H587" s="251"/>
      <c r="I587" s="184">
        <f aca="true" t="shared" si="49" ref="I587:I628">G587+H587</f>
        <v>0</v>
      </c>
      <c r="J587" s="184">
        <f>J588</f>
        <v>0</v>
      </c>
      <c r="K587" s="251"/>
      <c r="L587" s="184">
        <f t="shared" si="47"/>
        <v>0</v>
      </c>
      <c r="M587" s="184">
        <f>M588</f>
        <v>0</v>
      </c>
      <c r="N587" s="251"/>
      <c r="O587" s="184">
        <f t="shared" si="48"/>
        <v>0</v>
      </c>
    </row>
    <row r="588" spans="1:15" ht="25.5" hidden="1">
      <c r="A588" s="192" t="s">
        <v>206</v>
      </c>
      <c r="B588" s="182" t="s">
        <v>801</v>
      </c>
      <c r="C588" s="182" t="s">
        <v>269</v>
      </c>
      <c r="D588" s="182" t="s">
        <v>407</v>
      </c>
      <c r="E588" s="207" t="s">
        <v>805</v>
      </c>
      <c r="F588" s="210" t="s">
        <v>207</v>
      </c>
      <c r="G588" s="184"/>
      <c r="H588" s="251"/>
      <c r="I588" s="184">
        <f t="shared" si="49"/>
        <v>0</v>
      </c>
      <c r="J588" s="184"/>
      <c r="K588" s="251"/>
      <c r="L588" s="184">
        <f t="shared" si="47"/>
        <v>0</v>
      </c>
      <c r="M588" s="184"/>
      <c r="N588" s="251"/>
      <c r="O588" s="184">
        <f t="shared" si="48"/>
        <v>0</v>
      </c>
    </row>
    <row r="589" spans="1:15" ht="41.25" customHeight="1">
      <c r="A589" s="199" t="s">
        <v>641</v>
      </c>
      <c r="B589" s="182" t="s">
        <v>801</v>
      </c>
      <c r="C589" s="182" t="s">
        <v>269</v>
      </c>
      <c r="D589" s="182" t="s">
        <v>407</v>
      </c>
      <c r="E589" s="207" t="s">
        <v>642</v>
      </c>
      <c r="F589" s="210"/>
      <c r="G589" s="184">
        <f>G594</f>
        <v>755340</v>
      </c>
      <c r="H589" s="184">
        <f>H594</f>
        <v>0</v>
      </c>
      <c r="I589" s="184">
        <f t="shared" si="49"/>
        <v>755340</v>
      </c>
      <c r="J589" s="184">
        <f>J594</f>
        <v>625092</v>
      </c>
      <c r="K589" s="184">
        <f>K594</f>
        <v>0</v>
      </c>
      <c r="L589" s="184">
        <f t="shared" si="47"/>
        <v>625092</v>
      </c>
      <c r="M589" s="184">
        <f>M594</f>
        <v>637623</v>
      </c>
      <c r="N589" s="184">
        <f>N594</f>
        <v>0</v>
      </c>
      <c r="O589" s="184">
        <f t="shared" si="48"/>
        <v>637623</v>
      </c>
    </row>
    <row r="590" spans="1:15" ht="30" customHeight="1" hidden="1">
      <c r="A590" s="199" t="s">
        <v>643</v>
      </c>
      <c r="B590" s="182" t="s">
        <v>801</v>
      </c>
      <c r="C590" s="182" t="s">
        <v>269</v>
      </c>
      <c r="D590" s="182" t="s">
        <v>407</v>
      </c>
      <c r="E590" s="207" t="s">
        <v>644</v>
      </c>
      <c r="F590" s="210"/>
      <c r="G590" s="184">
        <f>G591</f>
        <v>0</v>
      </c>
      <c r="H590" s="251"/>
      <c r="I590" s="184">
        <f t="shared" si="49"/>
        <v>0</v>
      </c>
      <c r="J590" s="184">
        <f>J591</f>
        <v>0</v>
      </c>
      <c r="K590" s="251"/>
      <c r="L590" s="184">
        <f t="shared" si="47"/>
        <v>0</v>
      </c>
      <c r="M590" s="184">
        <f>M591</f>
        <v>0</v>
      </c>
      <c r="N590" s="251"/>
      <c r="O590" s="184">
        <f t="shared" si="48"/>
        <v>0</v>
      </c>
    </row>
    <row r="591" spans="1:15" ht="35.25" customHeight="1" hidden="1">
      <c r="A591" s="192" t="s">
        <v>206</v>
      </c>
      <c r="B591" s="182" t="s">
        <v>801</v>
      </c>
      <c r="C591" s="182" t="s">
        <v>269</v>
      </c>
      <c r="D591" s="182" t="s">
        <v>407</v>
      </c>
      <c r="E591" s="207" t="s">
        <v>644</v>
      </c>
      <c r="F591" s="210" t="s">
        <v>207</v>
      </c>
      <c r="G591" s="184"/>
      <c r="H591" s="251"/>
      <c r="I591" s="184">
        <f t="shared" si="49"/>
        <v>0</v>
      </c>
      <c r="J591" s="184"/>
      <c r="K591" s="251"/>
      <c r="L591" s="184">
        <f t="shared" si="47"/>
        <v>0</v>
      </c>
      <c r="M591" s="184"/>
      <c r="N591" s="251"/>
      <c r="O591" s="184">
        <f t="shared" si="48"/>
        <v>0</v>
      </c>
    </row>
    <row r="592" spans="1:15" ht="33" customHeight="1" hidden="1">
      <c r="A592" s="199" t="s">
        <v>645</v>
      </c>
      <c r="B592" s="182" t="s">
        <v>801</v>
      </c>
      <c r="C592" s="182" t="s">
        <v>269</v>
      </c>
      <c r="D592" s="182" t="s">
        <v>407</v>
      </c>
      <c r="E592" s="207" t="s">
        <v>646</v>
      </c>
      <c r="F592" s="210"/>
      <c r="G592" s="184">
        <f>G593</f>
        <v>0</v>
      </c>
      <c r="H592" s="251"/>
      <c r="I592" s="184">
        <f t="shared" si="49"/>
        <v>0</v>
      </c>
      <c r="J592" s="184">
        <f>J593</f>
        <v>0</v>
      </c>
      <c r="K592" s="251"/>
      <c r="L592" s="184">
        <f t="shared" si="47"/>
        <v>0</v>
      </c>
      <c r="M592" s="184">
        <f>M593</f>
        <v>0</v>
      </c>
      <c r="N592" s="251"/>
      <c r="O592" s="184">
        <f t="shared" si="48"/>
        <v>0</v>
      </c>
    </row>
    <row r="593" spans="1:15" ht="31.5" customHeight="1" hidden="1">
      <c r="A593" s="192" t="s">
        <v>206</v>
      </c>
      <c r="B593" s="182" t="s">
        <v>801</v>
      </c>
      <c r="C593" s="182" t="s">
        <v>269</v>
      </c>
      <c r="D593" s="182" t="s">
        <v>407</v>
      </c>
      <c r="E593" s="207" t="s">
        <v>646</v>
      </c>
      <c r="F593" s="210" t="s">
        <v>207</v>
      </c>
      <c r="G593" s="184"/>
      <c r="H593" s="251"/>
      <c r="I593" s="184">
        <f t="shared" si="49"/>
        <v>0</v>
      </c>
      <c r="J593" s="184"/>
      <c r="K593" s="251"/>
      <c r="L593" s="184">
        <f t="shared" si="47"/>
        <v>0</v>
      </c>
      <c r="M593" s="184"/>
      <c r="N593" s="251"/>
      <c r="O593" s="184">
        <f t="shared" si="48"/>
        <v>0</v>
      </c>
    </row>
    <row r="594" spans="1:15" ht="18" customHeight="1">
      <c r="A594" s="191" t="s">
        <v>366</v>
      </c>
      <c r="B594" s="182" t="s">
        <v>801</v>
      </c>
      <c r="C594" s="182" t="s">
        <v>269</v>
      </c>
      <c r="D594" s="182" t="s">
        <v>407</v>
      </c>
      <c r="E594" s="207" t="s">
        <v>647</v>
      </c>
      <c r="F594" s="210"/>
      <c r="G594" s="184">
        <f>G595+G596+G597</f>
        <v>755340</v>
      </c>
      <c r="H594" s="184">
        <f>H595+H596+H597</f>
        <v>0</v>
      </c>
      <c r="I594" s="184">
        <f t="shared" si="49"/>
        <v>755340</v>
      </c>
      <c r="J594" s="184">
        <f>J595+J596+J597</f>
        <v>625092</v>
      </c>
      <c r="K594" s="184">
        <f>K595+K596+K597</f>
        <v>0</v>
      </c>
      <c r="L594" s="184">
        <f t="shared" si="47"/>
        <v>625092</v>
      </c>
      <c r="M594" s="184">
        <f>M595+M596+M597</f>
        <v>637623</v>
      </c>
      <c r="N594" s="184">
        <f>N595+N596+N597</f>
        <v>0</v>
      </c>
      <c r="O594" s="184">
        <f t="shared" si="48"/>
        <v>637623</v>
      </c>
    </row>
    <row r="595" spans="1:15" ht="47.25" customHeight="1" hidden="1">
      <c r="A595" s="199" t="s">
        <v>648</v>
      </c>
      <c r="B595" s="182" t="s">
        <v>801</v>
      </c>
      <c r="C595" s="182" t="s">
        <v>269</v>
      </c>
      <c r="D595" s="182" t="s">
        <v>407</v>
      </c>
      <c r="E595" s="207" t="s">
        <v>647</v>
      </c>
      <c r="F595" s="183" t="s">
        <v>195</v>
      </c>
      <c r="G595" s="184"/>
      <c r="H595" s="251"/>
      <c r="I595" s="184">
        <f t="shared" si="49"/>
        <v>0</v>
      </c>
      <c r="J595" s="184"/>
      <c r="K595" s="251"/>
      <c r="L595" s="184">
        <f t="shared" si="47"/>
        <v>0</v>
      </c>
      <c r="M595" s="184"/>
      <c r="N595" s="251"/>
      <c r="O595" s="184">
        <f t="shared" si="48"/>
        <v>0</v>
      </c>
    </row>
    <row r="596" spans="1:15" ht="29.25" customHeight="1" hidden="1">
      <c r="A596" s="192" t="s">
        <v>206</v>
      </c>
      <c r="B596" s="182" t="s">
        <v>801</v>
      </c>
      <c r="C596" s="182" t="s">
        <v>269</v>
      </c>
      <c r="D596" s="182" t="s">
        <v>407</v>
      </c>
      <c r="E596" s="207" t="s">
        <v>647</v>
      </c>
      <c r="F596" s="210" t="s">
        <v>207</v>
      </c>
      <c r="G596" s="184"/>
      <c r="H596" s="251">
        <f>596673+11217.06-11217.06-596673</f>
        <v>0</v>
      </c>
      <c r="I596" s="184">
        <f t="shared" si="49"/>
        <v>0</v>
      </c>
      <c r="J596" s="184"/>
      <c r="K596" s="251">
        <f>596673+11217.06-11217.06-596673</f>
        <v>0</v>
      </c>
      <c r="L596" s="184">
        <f t="shared" si="47"/>
        <v>0</v>
      </c>
      <c r="M596" s="184"/>
      <c r="N596" s="251">
        <f>596673+11217.06-11217.06-596673</f>
        <v>0</v>
      </c>
      <c r="O596" s="184">
        <f t="shared" si="48"/>
        <v>0</v>
      </c>
    </row>
    <row r="597" spans="1:15" ht="25.5">
      <c r="A597" s="199" t="s">
        <v>614</v>
      </c>
      <c r="B597" s="182" t="s">
        <v>801</v>
      </c>
      <c r="C597" s="182" t="s">
        <v>269</v>
      </c>
      <c r="D597" s="182" t="s">
        <v>407</v>
      </c>
      <c r="E597" s="207" t="s">
        <v>647</v>
      </c>
      <c r="F597" s="210" t="s">
        <v>615</v>
      </c>
      <c r="G597" s="184">
        <f>755340</f>
        <v>755340</v>
      </c>
      <c r="H597" s="251"/>
      <c r="I597" s="184">
        <f t="shared" si="49"/>
        <v>755340</v>
      </c>
      <c r="J597" s="184">
        <f>755340-130248</f>
        <v>625092</v>
      </c>
      <c r="K597" s="251"/>
      <c r="L597" s="184">
        <f>J597+K597</f>
        <v>625092</v>
      </c>
      <c r="M597" s="184">
        <f>755340-117717</f>
        <v>637623</v>
      </c>
      <c r="N597" s="251"/>
      <c r="O597" s="184">
        <f>M597+N597</f>
        <v>637623</v>
      </c>
    </row>
    <row r="598" spans="1:15" ht="17.25" customHeight="1">
      <c r="A598" s="199" t="s">
        <v>693</v>
      </c>
      <c r="B598" s="182" t="s">
        <v>801</v>
      </c>
      <c r="C598" s="182">
        <v>10</v>
      </c>
      <c r="D598" s="182"/>
      <c r="E598" s="182"/>
      <c r="F598" s="183"/>
      <c r="G598" s="184">
        <f>G599</f>
        <v>1141242</v>
      </c>
      <c r="H598" s="251"/>
      <c r="I598" s="184">
        <f t="shared" si="49"/>
        <v>1141242</v>
      </c>
      <c r="J598" s="184">
        <f>J599</f>
        <v>686442</v>
      </c>
      <c r="K598" s="251"/>
      <c r="L598" s="184">
        <f>J598+K598</f>
        <v>686442</v>
      </c>
      <c r="M598" s="184">
        <f>M599</f>
        <v>686442</v>
      </c>
      <c r="N598" s="251"/>
      <c r="O598" s="184">
        <f>M598+N598</f>
        <v>686442</v>
      </c>
    </row>
    <row r="599" spans="1:15" ht="19.5" customHeight="1">
      <c r="A599" s="199" t="s">
        <v>712</v>
      </c>
      <c r="B599" s="182" t="s">
        <v>801</v>
      </c>
      <c r="C599" s="182">
        <v>10</v>
      </c>
      <c r="D599" s="182" t="s">
        <v>210</v>
      </c>
      <c r="E599" s="182"/>
      <c r="F599" s="183"/>
      <c r="G599" s="184">
        <f>G600</f>
        <v>1141242</v>
      </c>
      <c r="H599" s="251"/>
      <c r="I599" s="184">
        <f t="shared" si="49"/>
        <v>1141242</v>
      </c>
      <c r="J599" s="184">
        <f>J600</f>
        <v>686442</v>
      </c>
      <c r="K599" s="251"/>
      <c r="L599" s="184">
        <f aca="true" t="shared" si="50" ref="L599:L628">J599+K599</f>
        <v>686442</v>
      </c>
      <c r="M599" s="184">
        <f>M600</f>
        <v>686442</v>
      </c>
      <c r="N599" s="251"/>
      <c r="O599" s="184">
        <f aca="true" t="shared" si="51" ref="O599:O628">M599+N599</f>
        <v>686442</v>
      </c>
    </row>
    <row r="600" spans="1:15" ht="29.25" customHeight="1">
      <c r="A600" s="199" t="s">
        <v>718</v>
      </c>
      <c r="B600" s="182" t="s">
        <v>801</v>
      </c>
      <c r="C600" s="182">
        <v>10</v>
      </c>
      <c r="D600" s="182" t="s">
        <v>210</v>
      </c>
      <c r="E600" s="229" t="s">
        <v>302</v>
      </c>
      <c r="F600" s="183"/>
      <c r="G600" s="184">
        <f>G601+G605</f>
        <v>1141242</v>
      </c>
      <c r="H600" s="251"/>
      <c r="I600" s="184">
        <f t="shared" si="49"/>
        <v>1141242</v>
      </c>
      <c r="J600" s="184">
        <f>J601+J605</f>
        <v>686442</v>
      </c>
      <c r="K600" s="251"/>
      <c r="L600" s="184">
        <f t="shared" si="50"/>
        <v>686442</v>
      </c>
      <c r="M600" s="184">
        <f>M601+M605</f>
        <v>686442</v>
      </c>
      <c r="N600" s="251"/>
      <c r="O600" s="184">
        <f t="shared" si="51"/>
        <v>686442</v>
      </c>
    </row>
    <row r="601" spans="1:15" ht="42" customHeight="1">
      <c r="A601" s="222" t="s">
        <v>529</v>
      </c>
      <c r="B601" s="182" t="s">
        <v>801</v>
      </c>
      <c r="C601" s="182">
        <v>10</v>
      </c>
      <c r="D601" s="182" t="s">
        <v>210</v>
      </c>
      <c r="E601" s="229" t="s">
        <v>530</v>
      </c>
      <c r="F601" s="183"/>
      <c r="G601" s="184">
        <f>G602</f>
        <v>1141242</v>
      </c>
      <c r="H601" s="251"/>
      <c r="I601" s="184">
        <f t="shared" si="49"/>
        <v>1141242</v>
      </c>
      <c r="J601" s="184">
        <f>J602</f>
        <v>686442</v>
      </c>
      <c r="K601" s="251"/>
      <c r="L601" s="184">
        <f t="shared" si="50"/>
        <v>686442</v>
      </c>
      <c r="M601" s="184">
        <f>M602</f>
        <v>686442</v>
      </c>
      <c r="N601" s="251"/>
      <c r="O601" s="184">
        <f t="shared" si="51"/>
        <v>686442</v>
      </c>
    </row>
    <row r="602" spans="1:15" ht="29.25" customHeight="1">
      <c r="A602" s="199" t="s">
        <v>531</v>
      </c>
      <c r="B602" s="182" t="s">
        <v>801</v>
      </c>
      <c r="C602" s="182">
        <v>10</v>
      </c>
      <c r="D602" s="182" t="s">
        <v>210</v>
      </c>
      <c r="E602" s="229" t="s">
        <v>532</v>
      </c>
      <c r="F602" s="183"/>
      <c r="G602" s="184">
        <f>G603</f>
        <v>1141242</v>
      </c>
      <c r="H602" s="251"/>
      <c r="I602" s="184">
        <f t="shared" si="49"/>
        <v>1141242</v>
      </c>
      <c r="J602" s="184">
        <f>J603</f>
        <v>686442</v>
      </c>
      <c r="K602" s="251"/>
      <c r="L602" s="184">
        <f t="shared" si="50"/>
        <v>686442</v>
      </c>
      <c r="M602" s="184">
        <f>M603</f>
        <v>686442</v>
      </c>
      <c r="N602" s="251"/>
      <c r="O602" s="184">
        <f t="shared" si="51"/>
        <v>686442</v>
      </c>
    </row>
    <row r="603" spans="1:15" ht="16.5" customHeight="1">
      <c r="A603" s="191" t="s">
        <v>719</v>
      </c>
      <c r="B603" s="182" t="s">
        <v>801</v>
      </c>
      <c r="C603" s="182">
        <v>10</v>
      </c>
      <c r="D603" s="182" t="s">
        <v>210</v>
      </c>
      <c r="E603" s="229" t="s">
        <v>720</v>
      </c>
      <c r="F603" s="183"/>
      <c r="G603" s="184">
        <f>G604</f>
        <v>1141242</v>
      </c>
      <c r="H603" s="251"/>
      <c r="I603" s="184">
        <f t="shared" si="49"/>
        <v>1141242</v>
      </c>
      <c r="J603" s="184">
        <f>J604</f>
        <v>686442</v>
      </c>
      <c r="K603" s="251"/>
      <c r="L603" s="184">
        <f t="shared" si="50"/>
        <v>686442</v>
      </c>
      <c r="M603" s="184">
        <f>M604</f>
        <v>686442</v>
      </c>
      <c r="N603" s="251"/>
      <c r="O603" s="184">
        <f t="shared" si="51"/>
        <v>686442</v>
      </c>
    </row>
    <row r="604" spans="1:15" ht="16.5" customHeight="1">
      <c r="A604" s="223" t="s">
        <v>244</v>
      </c>
      <c r="B604" s="182" t="s">
        <v>801</v>
      </c>
      <c r="C604" s="182">
        <v>10</v>
      </c>
      <c r="D604" s="182" t="s">
        <v>210</v>
      </c>
      <c r="E604" s="229" t="s">
        <v>720</v>
      </c>
      <c r="F604" s="183" t="s">
        <v>245</v>
      </c>
      <c r="G604" s="184">
        <v>1141242</v>
      </c>
      <c r="H604" s="251"/>
      <c r="I604" s="184">
        <f t="shared" si="49"/>
        <v>1141242</v>
      </c>
      <c r="J604" s="184">
        <v>686442</v>
      </c>
      <c r="K604" s="251"/>
      <c r="L604" s="184">
        <f t="shared" si="50"/>
        <v>686442</v>
      </c>
      <c r="M604" s="184">
        <v>686442</v>
      </c>
      <c r="N604" s="251"/>
      <c r="O604" s="184">
        <f t="shared" si="51"/>
        <v>686442</v>
      </c>
    </row>
    <row r="605" spans="1:15" ht="31.5" customHeight="1" hidden="1">
      <c r="A605" s="199" t="s">
        <v>559</v>
      </c>
      <c r="B605" s="182" t="s">
        <v>801</v>
      </c>
      <c r="C605" s="182" t="s">
        <v>378</v>
      </c>
      <c r="D605" s="182" t="s">
        <v>210</v>
      </c>
      <c r="E605" s="182" t="s">
        <v>560</v>
      </c>
      <c r="F605" s="183"/>
      <c r="G605" s="184">
        <f>G606</f>
        <v>0</v>
      </c>
      <c r="H605" s="251"/>
      <c r="I605" s="184">
        <f t="shared" si="49"/>
        <v>0</v>
      </c>
      <c r="J605" s="184">
        <f>J606</f>
        <v>0</v>
      </c>
      <c r="K605" s="251"/>
      <c r="L605" s="184">
        <f t="shared" si="50"/>
        <v>0</v>
      </c>
      <c r="M605" s="184">
        <f>M606</f>
        <v>0</v>
      </c>
      <c r="N605" s="251"/>
      <c r="O605" s="184">
        <f t="shared" si="51"/>
        <v>0</v>
      </c>
    </row>
    <row r="606" spans="1:15" ht="66" customHeight="1" hidden="1">
      <c r="A606" s="196" t="s">
        <v>571</v>
      </c>
      <c r="B606" s="182" t="s">
        <v>801</v>
      </c>
      <c r="C606" s="182">
        <v>10</v>
      </c>
      <c r="D606" s="182" t="s">
        <v>210</v>
      </c>
      <c r="E606" s="229" t="s">
        <v>572</v>
      </c>
      <c r="F606" s="183"/>
      <c r="G606" s="184">
        <f>G607</f>
        <v>0</v>
      </c>
      <c r="H606" s="251"/>
      <c r="I606" s="184">
        <f t="shared" si="49"/>
        <v>0</v>
      </c>
      <c r="J606" s="184">
        <f>J607</f>
        <v>0</v>
      </c>
      <c r="K606" s="251"/>
      <c r="L606" s="184">
        <f t="shared" si="50"/>
        <v>0</v>
      </c>
      <c r="M606" s="184">
        <f>M607</f>
        <v>0</v>
      </c>
      <c r="N606" s="251"/>
      <c r="O606" s="184">
        <f t="shared" si="51"/>
        <v>0</v>
      </c>
    </row>
    <row r="607" spans="1:15" ht="39" customHeight="1" hidden="1">
      <c r="A607" s="192" t="s">
        <v>194</v>
      </c>
      <c r="B607" s="182" t="s">
        <v>801</v>
      </c>
      <c r="C607" s="182">
        <v>10</v>
      </c>
      <c r="D607" s="182" t="s">
        <v>210</v>
      </c>
      <c r="E607" s="229" t="s">
        <v>572</v>
      </c>
      <c r="F607" s="183" t="s">
        <v>195</v>
      </c>
      <c r="G607" s="184"/>
      <c r="H607" s="251"/>
      <c r="I607" s="184">
        <f t="shared" si="49"/>
        <v>0</v>
      </c>
      <c r="J607" s="184"/>
      <c r="K607" s="251"/>
      <c r="L607" s="184">
        <f t="shared" si="50"/>
        <v>0</v>
      </c>
      <c r="M607" s="184"/>
      <c r="N607" s="251"/>
      <c r="O607" s="184">
        <f t="shared" si="51"/>
        <v>0</v>
      </c>
    </row>
    <row r="608" spans="1:15" ht="15">
      <c r="A608" s="199" t="s">
        <v>735</v>
      </c>
      <c r="B608" s="182" t="s">
        <v>801</v>
      </c>
      <c r="C608" s="182" t="s">
        <v>277</v>
      </c>
      <c r="D608" s="182"/>
      <c r="E608" s="182"/>
      <c r="F608" s="183"/>
      <c r="G608" s="184">
        <f>G615+G609</f>
        <v>7641000.000000001</v>
      </c>
      <c r="H608" s="251"/>
      <c r="I608" s="184">
        <f t="shared" si="49"/>
        <v>7641000.000000001</v>
      </c>
      <c r="J608" s="184">
        <f>J615</f>
        <v>6522836</v>
      </c>
      <c r="K608" s="251"/>
      <c r="L608" s="184">
        <f t="shared" si="50"/>
        <v>6522836</v>
      </c>
      <c r="M608" s="184">
        <f>M615</f>
        <v>6630411</v>
      </c>
      <c r="N608" s="251"/>
      <c r="O608" s="184">
        <f t="shared" si="51"/>
        <v>6630411</v>
      </c>
    </row>
    <row r="609" spans="1:15" ht="15">
      <c r="A609" s="199" t="s">
        <v>736</v>
      </c>
      <c r="B609" s="182" t="s">
        <v>801</v>
      </c>
      <c r="C609" s="182" t="s">
        <v>277</v>
      </c>
      <c r="D609" s="182" t="s">
        <v>185</v>
      </c>
      <c r="E609" s="182"/>
      <c r="F609" s="183"/>
      <c r="G609" s="184">
        <f>G610</f>
        <v>71525.69</v>
      </c>
      <c r="H609" s="251"/>
      <c r="I609" s="184">
        <f t="shared" si="49"/>
        <v>71525.69</v>
      </c>
      <c r="J609" s="184"/>
      <c r="K609" s="251"/>
      <c r="L609" s="184">
        <f t="shared" si="50"/>
        <v>0</v>
      </c>
      <c r="M609" s="184"/>
      <c r="N609" s="251"/>
      <c r="O609" s="184">
        <f t="shared" si="51"/>
        <v>0</v>
      </c>
    </row>
    <row r="610" spans="1:15" ht="38.25">
      <c r="A610" s="199" t="s">
        <v>621</v>
      </c>
      <c r="B610" s="182" t="s">
        <v>801</v>
      </c>
      <c r="C610" s="182" t="s">
        <v>277</v>
      </c>
      <c r="D610" s="182" t="s">
        <v>185</v>
      </c>
      <c r="E610" s="207" t="s">
        <v>622</v>
      </c>
      <c r="F610" s="183"/>
      <c r="G610" s="184">
        <f>G611</f>
        <v>71525.69</v>
      </c>
      <c r="H610" s="251"/>
      <c r="I610" s="184">
        <f t="shared" si="49"/>
        <v>71525.69</v>
      </c>
      <c r="J610" s="184">
        <f>J611</f>
        <v>0</v>
      </c>
      <c r="K610" s="251"/>
      <c r="L610" s="184">
        <f t="shared" si="50"/>
        <v>0</v>
      </c>
      <c r="M610" s="184">
        <f>M611</f>
        <v>0</v>
      </c>
      <c r="N610" s="251"/>
      <c r="O610" s="184">
        <f t="shared" si="51"/>
        <v>0</v>
      </c>
    </row>
    <row r="611" spans="1:15" ht="63.75">
      <c r="A611" s="211" t="s">
        <v>737</v>
      </c>
      <c r="B611" s="182" t="s">
        <v>801</v>
      </c>
      <c r="C611" s="182" t="s">
        <v>277</v>
      </c>
      <c r="D611" s="182" t="s">
        <v>185</v>
      </c>
      <c r="E611" s="207" t="s">
        <v>738</v>
      </c>
      <c r="F611" s="183"/>
      <c r="G611" s="184">
        <f>G612</f>
        <v>71525.69</v>
      </c>
      <c r="H611" s="251"/>
      <c r="I611" s="184">
        <f t="shared" si="49"/>
        <v>71525.69</v>
      </c>
      <c r="J611" s="184">
        <f>J612</f>
        <v>0</v>
      </c>
      <c r="K611" s="251"/>
      <c r="L611" s="184">
        <f t="shared" si="50"/>
        <v>0</v>
      </c>
      <c r="M611" s="184">
        <f>M612</f>
        <v>0</v>
      </c>
      <c r="N611" s="251"/>
      <c r="O611" s="184">
        <f t="shared" si="51"/>
        <v>0</v>
      </c>
    </row>
    <row r="612" spans="1:15" ht="25.5">
      <c r="A612" s="230" t="s">
        <v>743</v>
      </c>
      <c r="B612" s="182" t="s">
        <v>801</v>
      </c>
      <c r="C612" s="182" t="s">
        <v>277</v>
      </c>
      <c r="D612" s="182" t="s">
        <v>185</v>
      </c>
      <c r="E612" s="207" t="s">
        <v>744</v>
      </c>
      <c r="F612" s="183"/>
      <c r="G612" s="184">
        <f>G613</f>
        <v>71525.69</v>
      </c>
      <c r="H612" s="251"/>
      <c r="I612" s="184">
        <f t="shared" si="49"/>
        <v>71525.69</v>
      </c>
      <c r="J612" s="184">
        <f>J613</f>
        <v>0</v>
      </c>
      <c r="K612" s="251"/>
      <c r="L612" s="184">
        <f t="shared" si="50"/>
        <v>0</v>
      </c>
      <c r="M612" s="184">
        <f>M613</f>
        <v>0</v>
      </c>
      <c r="N612" s="251"/>
      <c r="O612" s="184">
        <f t="shared" si="51"/>
        <v>0</v>
      </c>
    </row>
    <row r="613" spans="1:15" ht="15">
      <c r="A613" s="199" t="s">
        <v>366</v>
      </c>
      <c r="B613" s="182" t="s">
        <v>801</v>
      </c>
      <c r="C613" s="182" t="s">
        <v>277</v>
      </c>
      <c r="D613" s="182" t="s">
        <v>185</v>
      </c>
      <c r="E613" s="207" t="s">
        <v>745</v>
      </c>
      <c r="F613" s="183"/>
      <c r="G613" s="184">
        <f>G614</f>
        <v>71525.69</v>
      </c>
      <c r="H613" s="251"/>
      <c r="I613" s="184">
        <f t="shared" si="49"/>
        <v>71525.69</v>
      </c>
      <c r="J613" s="184">
        <f>J614</f>
        <v>0</v>
      </c>
      <c r="K613" s="251"/>
      <c r="L613" s="184">
        <f t="shared" si="50"/>
        <v>0</v>
      </c>
      <c r="M613" s="184">
        <f>M614</f>
        <v>0</v>
      </c>
      <c r="N613" s="251"/>
      <c r="O613" s="184">
        <f t="shared" si="51"/>
        <v>0</v>
      </c>
    </row>
    <row r="614" spans="1:15" ht="25.5">
      <c r="A614" s="192" t="s">
        <v>206</v>
      </c>
      <c r="B614" s="182" t="s">
        <v>801</v>
      </c>
      <c r="C614" s="182" t="s">
        <v>277</v>
      </c>
      <c r="D614" s="182" t="s">
        <v>185</v>
      </c>
      <c r="E614" s="207" t="s">
        <v>745</v>
      </c>
      <c r="F614" s="183" t="s">
        <v>207</v>
      </c>
      <c r="G614" s="184">
        <v>71525.69</v>
      </c>
      <c r="H614" s="251"/>
      <c r="I614" s="184">
        <f t="shared" si="49"/>
        <v>71525.69</v>
      </c>
      <c r="J614" s="184"/>
      <c r="K614" s="251"/>
      <c r="L614" s="184">
        <f t="shared" si="50"/>
        <v>0</v>
      </c>
      <c r="M614" s="184"/>
      <c r="N614" s="251"/>
      <c r="O614" s="184">
        <f t="shared" si="51"/>
        <v>0</v>
      </c>
    </row>
    <row r="615" spans="1:15" ht="15">
      <c r="A615" s="199" t="s">
        <v>746</v>
      </c>
      <c r="B615" s="182" t="s">
        <v>801</v>
      </c>
      <c r="C615" s="182" t="s">
        <v>277</v>
      </c>
      <c r="D615" s="182" t="s">
        <v>197</v>
      </c>
      <c r="E615" s="182"/>
      <c r="F615" s="183"/>
      <c r="G615" s="184">
        <f>G616</f>
        <v>7569474.3100000005</v>
      </c>
      <c r="H615" s="251"/>
      <c r="I615" s="184">
        <f t="shared" si="49"/>
        <v>7569474.3100000005</v>
      </c>
      <c r="J615" s="184">
        <f>J616</f>
        <v>6522836</v>
      </c>
      <c r="K615" s="251"/>
      <c r="L615" s="184">
        <f t="shared" si="50"/>
        <v>6522836</v>
      </c>
      <c r="M615" s="184">
        <f>M616</f>
        <v>6630411</v>
      </c>
      <c r="N615" s="251"/>
      <c r="O615" s="184">
        <f t="shared" si="51"/>
        <v>6630411</v>
      </c>
    </row>
    <row r="616" spans="1:15" ht="42" customHeight="1">
      <c r="A616" s="199" t="s">
        <v>621</v>
      </c>
      <c r="B616" s="182" t="s">
        <v>801</v>
      </c>
      <c r="C616" s="182" t="s">
        <v>277</v>
      </c>
      <c r="D616" s="182" t="s">
        <v>197</v>
      </c>
      <c r="E616" s="207" t="s">
        <v>622</v>
      </c>
      <c r="F616" s="183"/>
      <c r="G616" s="184">
        <f>G617</f>
        <v>7569474.3100000005</v>
      </c>
      <c r="H616" s="251"/>
      <c r="I616" s="184">
        <f t="shared" si="49"/>
        <v>7569474.3100000005</v>
      </c>
      <c r="J616" s="184">
        <f>J617</f>
        <v>6522836</v>
      </c>
      <c r="K616" s="251"/>
      <c r="L616" s="184">
        <f t="shared" si="50"/>
        <v>6522836</v>
      </c>
      <c r="M616" s="184">
        <f>M617</f>
        <v>6630411</v>
      </c>
      <c r="N616" s="251"/>
      <c r="O616" s="184">
        <f t="shared" si="51"/>
        <v>6630411</v>
      </c>
    </row>
    <row r="617" spans="1:15" ht="68.25" customHeight="1">
      <c r="A617" s="211" t="s">
        <v>737</v>
      </c>
      <c r="B617" s="182" t="s">
        <v>801</v>
      </c>
      <c r="C617" s="182" t="s">
        <v>277</v>
      </c>
      <c r="D617" s="182" t="s">
        <v>197</v>
      </c>
      <c r="E617" s="207" t="s">
        <v>738</v>
      </c>
      <c r="F617" s="183"/>
      <c r="G617" s="184">
        <f>G618+G622</f>
        <v>7569474.3100000005</v>
      </c>
      <c r="H617" s="251"/>
      <c r="I617" s="184">
        <f t="shared" si="49"/>
        <v>7569474.3100000005</v>
      </c>
      <c r="J617" s="184">
        <f>J618+J622</f>
        <v>6522836</v>
      </c>
      <c r="K617" s="251"/>
      <c r="L617" s="184">
        <f t="shared" si="50"/>
        <v>6522836</v>
      </c>
      <c r="M617" s="184">
        <f>M618+M622</f>
        <v>6630411</v>
      </c>
      <c r="N617" s="251"/>
      <c r="O617" s="184">
        <f t="shared" si="51"/>
        <v>6630411</v>
      </c>
    </row>
    <row r="618" spans="1:15" ht="44.25" customHeight="1" hidden="1">
      <c r="A618" s="211" t="s">
        <v>739</v>
      </c>
      <c r="B618" s="182" t="s">
        <v>801</v>
      </c>
      <c r="C618" s="182" t="s">
        <v>277</v>
      </c>
      <c r="D618" s="182" t="s">
        <v>197</v>
      </c>
      <c r="E618" s="207" t="s">
        <v>740</v>
      </c>
      <c r="F618" s="183"/>
      <c r="G618" s="184">
        <f>G619</f>
        <v>0</v>
      </c>
      <c r="H618" s="251"/>
      <c r="I618" s="184">
        <f t="shared" si="49"/>
        <v>0</v>
      </c>
      <c r="J618" s="184">
        <f>J619</f>
        <v>0</v>
      </c>
      <c r="K618" s="251"/>
      <c r="L618" s="184">
        <f t="shared" si="50"/>
        <v>0</v>
      </c>
      <c r="M618" s="184">
        <f>M619</f>
        <v>0</v>
      </c>
      <c r="N618" s="251"/>
      <c r="O618" s="184">
        <f t="shared" si="51"/>
        <v>0</v>
      </c>
    </row>
    <row r="619" spans="1:15" ht="39.75" customHeight="1" hidden="1">
      <c r="A619" s="199" t="s">
        <v>741</v>
      </c>
      <c r="B619" s="182" t="s">
        <v>801</v>
      </c>
      <c r="C619" s="182" t="s">
        <v>277</v>
      </c>
      <c r="D619" s="182" t="s">
        <v>197</v>
      </c>
      <c r="E619" s="207" t="s">
        <v>742</v>
      </c>
      <c r="F619" s="183"/>
      <c r="G619" s="184">
        <f>G621+G620</f>
        <v>0</v>
      </c>
      <c r="H619" s="251"/>
      <c r="I619" s="184">
        <f t="shared" si="49"/>
        <v>0</v>
      </c>
      <c r="J619" s="184">
        <f>J621+J620</f>
        <v>0</v>
      </c>
      <c r="K619" s="251"/>
      <c r="L619" s="184">
        <f t="shared" si="50"/>
        <v>0</v>
      </c>
      <c r="M619" s="184">
        <f>M621+M620</f>
        <v>0</v>
      </c>
      <c r="N619" s="251"/>
      <c r="O619" s="184">
        <f t="shared" si="51"/>
        <v>0</v>
      </c>
    </row>
    <row r="620" spans="1:15" ht="43.5" customHeight="1" hidden="1">
      <c r="A620" s="192" t="s">
        <v>194</v>
      </c>
      <c r="B620" s="182" t="s">
        <v>801</v>
      </c>
      <c r="C620" s="182" t="s">
        <v>277</v>
      </c>
      <c r="D620" s="182" t="s">
        <v>197</v>
      </c>
      <c r="E620" s="207" t="s">
        <v>742</v>
      </c>
      <c r="F620" s="183" t="s">
        <v>195</v>
      </c>
      <c r="G620" s="184">
        <f>3195-3195</f>
        <v>0</v>
      </c>
      <c r="H620" s="251"/>
      <c r="I620" s="184">
        <f t="shared" si="49"/>
        <v>0</v>
      </c>
      <c r="J620" s="184">
        <f>3195-3195</f>
        <v>0</v>
      </c>
      <c r="K620" s="251"/>
      <c r="L620" s="184">
        <f t="shared" si="50"/>
        <v>0</v>
      </c>
      <c r="M620" s="184">
        <f>3195-3195</f>
        <v>0</v>
      </c>
      <c r="N620" s="251"/>
      <c r="O620" s="184">
        <f t="shared" si="51"/>
        <v>0</v>
      </c>
    </row>
    <row r="621" spans="1:15" ht="25.5" hidden="1">
      <c r="A621" s="192" t="s">
        <v>206</v>
      </c>
      <c r="B621" s="182" t="s">
        <v>801</v>
      </c>
      <c r="C621" s="182" t="s">
        <v>277</v>
      </c>
      <c r="D621" s="182" t="s">
        <v>197</v>
      </c>
      <c r="E621" s="207" t="s">
        <v>742</v>
      </c>
      <c r="F621" s="183" t="s">
        <v>207</v>
      </c>
      <c r="G621" s="184"/>
      <c r="H621" s="251"/>
      <c r="I621" s="184">
        <f t="shared" si="49"/>
        <v>0</v>
      </c>
      <c r="J621" s="184"/>
      <c r="K621" s="251"/>
      <c r="L621" s="184">
        <f t="shared" si="50"/>
        <v>0</v>
      </c>
      <c r="M621" s="184"/>
      <c r="N621" s="251"/>
      <c r="O621" s="184">
        <f t="shared" si="51"/>
        <v>0</v>
      </c>
    </row>
    <row r="622" spans="1:15" ht="41.25" customHeight="1">
      <c r="A622" s="230" t="s">
        <v>743</v>
      </c>
      <c r="B622" s="182" t="s">
        <v>801</v>
      </c>
      <c r="C622" s="182" t="s">
        <v>277</v>
      </c>
      <c r="D622" s="182" t="s">
        <v>197</v>
      </c>
      <c r="E622" s="207" t="s">
        <v>744</v>
      </c>
      <c r="F622" s="183"/>
      <c r="G622" s="184">
        <f>G623+G627</f>
        <v>7569474.3100000005</v>
      </c>
      <c r="H622" s="251"/>
      <c r="I622" s="184">
        <f t="shared" si="49"/>
        <v>7569474.3100000005</v>
      </c>
      <c r="J622" s="184">
        <f>J623+J627</f>
        <v>6522836</v>
      </c>
      <c r="K622" s="251"/>
      <c r="L622" s="184">
        <f t="shared" si="50"/>
        <v>6522836</v>
      </c>
      <c r="M622" s="184">
        <f>M623+M627</f>
        <v>6630411</v>
      </c>
      <c r="N622" s="251"/>
      <c r="O622" s="184">
        <f t="shared" si="51"/>
        <v>6630411</v>
      </c>
    </row>
    <row r="623" spans="1:15" ht="29.25" customHeight="1">
      <c r="A623" s="199" t="s">
        <v>366</v>
      </c>
      <c r="B623" s="182" t="s">
        <v>801</v>
      </c>
      <c r="C623" s="182" t="s">
        <v>277</v>
      </c>
      <c r="D623" s="182" t="s">
        <v>197</v>
      </c>
      <c r="E623" s="207" t="s">
        <v>745</v>
      </c>
      <c r="F623" s="183"/>
      <c r="G623" s="184">
        <f>G625+G624+G626</f>
        <v>7569474.3100000005</v>
      </c>
      <c r="H623" s="251"/>
      <c r="I623" s="184">
        <f t="shared" si="49"/>
        <v>7569474.3100000005</v>
      </c>
      <c r="J623" s="184">
        <f>J625+J624+J626</f>
        <v>6522836</v>
      </c>
      <c r="K623" s="251"/>
      <c r="L623" s="184">
        <f t="shared" si="50"/>
        <v>6522836</v>
      </c>
      <c r="M623" s="184">
        <f>M625+M624+M626</f>
        <v>6630411</v>
      </c>
      <c r="N623" s="251"/>
      <c r="O623" s="184">
        <f t="shared" si="51"/>
        <v>6630411</v>
      </c>
    </row>
    <row r="624" spans="1:15" ht="40.5" customHeight="1">
      <c r="A624" s="192" t="s">
        <v>194</v>
      </c>
      <c r="B624" s="182" t="s">
        <v>801</v>
      </c>
      <c r="C624" s="182" t="s">
        <v>277</v>
      </c>
      <c r="D624" s="182" t="s">
        <v>197</v>
      </c>
      <c r="E624" s="207" t="s">
        <v>745</v>
      </c>
      <c r="F624" s="183" t="s">
        <v>195</v>
      </c>
      <c r="G624" s="184">
        <f>6484500</f>
        <v>6484500</v>
      </c>
      <c r="H624" s="251"/>
      <c r="I624" s="184">
        <f t="shared" si="49"/>
        <v>6484500</v>
      </c>
      <c r="J624" s="184">
        <v>5366336</v>
      </c>
      <c r="K624" s="251"/>
      <c r="L624" s="184">
        <f t="shared" si="50"/>
        <v>5366336</v>
      </c>
      <c r="M624" s="184">
        <v>5473911</v>
      </c>
      <c r="N624" s="251"/>
      <c r="O624" s="184">
        <f t="shared" si="51"/>
        <v>5473911</v>
      </c>
    </row>
    <row r="625" spans="1:15" ht="30.75" customHeight="1">
      <c r="A625" s="192" t="s">
        <v>206</v>
      </c>
      <c r="B625" s="182" t="s">
        <v>801</v>
      </c>
      <c r="C625" s="182" t="s">
        <v>277</v>
      </c>
      <c r="D625" s="182" t="s">
        <v>197</v>
      </c>
      <c r="E625" s="207" t="s">
        <v>745</v>
      </c>
      <c r="F625" s="183" t="s">
        <v>207</v>
      </c>
      <c r="G625" s="184">
        <f>1059000-71525.69</f>
        <v>987474.31</v>
      </c>
      <c r="H625" s="251"/>
      <c r="I625" s="184">
        <f t="shared" si="49"/>
        <v>987474.31</v>
      </c>
      <c r="J625" s="184">
        <f>1059000</f>
        <v>1059000</v>
      </c>
      <c r="K625" s="251"/>
      <c r="L625" s="184">
        <f t="shared" si="50"/>
        <v>1059000</v>
      </c>
      <c r="M625" s="184">
        <f>1059000</f>
        <v>1059000</v>
      </c>
      <c r="N625" s="251"/>
      <c r="O625" s="184">
        <f t="shared" si="51"/>
        <v>1059000</v>
      </c>
    </row>
    <row r="626" spans="1:15" ht="18" customHeight="1">
      <c r="A626" s="205" t="s">
        <v>274</v>
      </c>
      <c r="B626" s="182" t="s">
        <v>801</v>
      </c>
      <c r="C626" s="182" t="s">
        <v>277</v>
      </c>
      <c r="D626" s="182" t="s">
        <v>197</v>
      </c>
      <c r="E626" s="207" t="s">
        <v>745</v>
      </c>
      <c r="F626" s="183" t="s">
        <v>275</v>
      </c>
      <c r="G626" s="184">
        <v>97500</v>
      </c>
      <c r="H626" s="251"/>
      <c r="I626" s="184">
        <f t="shared" si="49"/>
        <v>97500</v>
      </c>
      <c r="J626" s="184">
        <v>97500</v>
      </c>
      <c r="K626" s="251"/>
      <c r="L626" s="184">
        <f t="shared" si="50"/>
        <v>97500</v>
      </c>
      <c r="M626" s="184">
        <v>97500</v>
      </c>
      <c r="N626" s="251"/>
      <c r="O626" s="184">
        <f t="shared" si="51"/>
        <v>97500</v>
      </c>
    </row>
    <row r="627" spans="1:15" ht="30" customHeight="1" hidden="1">
      <c r="A627" s="199" t="s">
        <v>806</v>
      </c>
      <c r="B627" s="182" t="s">
        <v>801</v>
      </c>
      <c r="C627" s="182" t="s">
        <v>277</v>
      </c>
      <c r="D627" s="182" t="s">
        <v>185</v>
      </c>
      <c r="E627" s="207" t="s">
        <v>807</v>
      </c>
      <c r="F627" s="183"/>
      <c r="G627" s="184">
        <f>G628</f>
        <v>0</v>
      </c>
      <c r="H627" s="251"/>
      <c r="I627" s="184">
        <f t="shared" si="49"/>
        <v>0</v>
      </c>
      <c r="J627" s="184">
        <f>J628</f>
        <v>0</v>
      </c>
      <c r="K627" s="251"/>
      <c r="L627" s="184">
        <f t="shared" si="50"/>
        <v>0</v>
      </c>
      <c r="M627" s="184">
        <f>M628</f>
        <v>0</v>
      </c>
      <c r="N627" s="251"/>
      <c r="O627" s="184">
        <f t="shared" si="51"/>
        <v>0</v>
      </c>
    </row>
    <row r="628" spans="1:15" ht="30" customHeight="1" hidden="1">
      <c r="A628" s="192" t="s">
        <v>206</v>
      </c>
      <c r="B628" s="182" t="s">
        <v>801</v>
      </c>
      <c r="C628" s="182" t="s">
        <v>277</v>
      </c>
      <c r="D628" s="182" t="s">
        <v>185</v>
      </c>
      <c r="E628" s="207" t="s">
        <v>807</v>
      </c>
      <c r="F628" s="183" t="s">
        <v>207</v>
      </c>
      <c r="G628" s="184"/>
      <c r="H628" s="251"/>
      <c r="I628" s="184">
        <f t="shared" si="49"/>
        <v>0</v>
      </c>
      <c r="J628" s="184"/>
      <c r="K628" s="251"/>
      <c r="L628" s="184">
        <f t="shared" si="50"/>
        <v>0</v>
      </c>
      <c r="M628" s="184"/>
      <c r="N628" s="251"/>
      <c r="O628" s="184">
        <f t="shared" si="51"/>
        <v>0</v>
      </c>
    </row>
    <row r="629" ht="15">
      <c r="B629" s="255"/>
    </row>
    <row r="630" ht="15">
      <c r="B630" s="255"/>
    </row>
    <row r="631" ht="15">
      <c r="B631" s="255"/>
    </row>
    <row r="632" ht="15">
      <c r="B632" s="255"/>
    </row>
    <row r="633" ht="15">
      <c r="B633" s="255"/>
    </row>
    <row r="634" ht="15">
      <c r="B634" s="255"/>
    </row>
    <row r="635" ht="15">
      <c r="B635" s="255"/>
    </row>
    <row r="636" ht="15">
      <c r="B636" s="255"/>
    </row>
    <row r="637" ht="15">
      <c r="B637" s="255"/>
    </row>
    <row r="638" ht="15">
      <c r="B638" s="255"/>
    </row>
    <row r="639" ht="15">
      <c r="B639" s="255"/>
    </row>
    <row r="640" ht="15">
      <c r="B640" s="255"/>
    </row>
    <row r="641" ht="15">
      <c r="B641" s="255"/>
    </row>
  </sheetData>
  <sheetProtection/>
  <mergeCells count="3">
    <mergeCell ref="I2:O2"/>
    <mergeCell ref="I3:O3"/>
    <mergeCell ref="A4:O4"/>
  </mergeCells>
  <hyperlinks>
    <hyperlink ref="A269" r:id="rId1" display="consultantplus://offline/ref=C6EF3AE28B6C46D1117CBBA251A07B11C6C7C5768D606C8B0E322DA1BBA42282C9440EEF08E6CC43400230U6VFM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2"/>
  <sheetViews>
    <sheetView zoomScalePageLayoutView="0" workbookViewId="0" topLeftCell="A52">
      <selection activeCell="D32" sqref="D32"/>
    </sheetView>
  </sheetViews>
  <sheetFormatPr defaultColWidth="9.00390625" defaultRowHeight="12.75"/>
  <cols>
    <col min="1" max="1" width="77.625" style="69" customWidth="1"/>
    <col min="2" max="2" width="19.00390625" style="255" customWidth="1"/>
    <col min="3" max="3" width="6.375" style="237" customWidth="1"/>
    <col min="4" max="4" width="21.75390625" style="240" customWidth="1"/>
    <col min="5" max="5" width="19.25390625" style="240" customWidth="1"/>
    <col min="6" max="6" width="20.25390625" style="240" customWidth="1"/>
    <col min="7" max="7" width="9.125" style="68" customWidth="1"/>
    <col min="8" max="8" width="17.875" style="68" customWidth="1"/>
    <col min="9" max="9" width="16.00390625" style="68" customWidth="1"/>
    <col min="10" max="10" width="16.75390625" style="68" customWidth="1"/>
    <col min="11" max="16384" width="9.125" style="68" customWidth="1"/>
  </cols>
  <sheetData>
    <row r="1" spans="2:4" ht="15">
      <c r="B1" s="256"/>
      <c r="C1" s="160"/>
      <c r="D1" s="256" t="s">
        <v>808</v>
      </c>
    </row>
    <row r="2" spans="2:6" ht="57" customHeight="1">
      <c r="B2" s="257"/>
      <c r="C2" s="257"/>
      <c r="D2" s="299" t="s">
        <v>809</v>
      </c>
      <c r="E2" s="299"/>
      <c r="F2" s="299"/>
    </row>
    <row r="3" spans="1:6" ht="39.75" customHeight="1" hidden="1">
      <c r="A3" s="241"/>
      <c r="B3" s="164"/>
      <c r="C3" s="164"/>
      <c r="D3" s="296" t="s">
        <v>810</v>
      </c>
      <c r="E3" s="296"/>
      <c r="F3" s="296"/>
    </row>
    <row r="4" spans="2:10" ht="15">
      <c r="B4" s="300"/>
      <c r="C4" s="301"/>
      <c r="D4" s="301"/>
      <c r="E4" s="69"/>
      <c r="F4" s="258"/>
      <c r="H4" s="194"/>
      <c r="I4" s="194"/>
      <c r="J4" s="194"/>
    </row>
    <row r="5" spans="1:10" ht="54" customHeight="1">
      <c r="A5" s="302" t="s">
        <v>811</v>
      </c>
      <c r="B5" s="302"/>
      <c r="C5" s="302"/>
      <c r="D5" s="302"/>
      <c r="E5" s="302"/>
      <c r="F5" s="302"/>
      <c r="H5" s="194"/>
      <c r="I5" s="194"/>
      <c r="J5" s="194"/>
    </row>
    <row r="6" spans="3:10" ht="17.25" customHeight="1">
      <c r="C6" s="259"/>
      <c r="D6" s="245"/>
      <c r="E6" s="245"/>
      <c r="F6" s="245" t="s">
        <v>788</v>
      </c>
      <c r="H6" s="260"/>
      <c r="I6" s="260"/>
      <c r="J6" s="260"/>
    </row>
    <row r="7" spans="1:10" ht="46.5" customHeight="1">
      <c r="A7" s="169" t="s">
        <v>170</v>
      </c>
      <c r="B7" s="261" t="s">
        <v>173</v>
      </c>
      <c r="C7" s="262" t="s">
        <v>174</v>
      </c>
      <c r="D7" s="263" t="s">
        <v>812</v>
      </c>
      <c r="E7" s="264" t="s">
        <v>813</v>
      </c>
      <c r="F7" s="264" t="s">
        <v>814</v>
      </c>
      <c r="H7" s="260"/>
      <c r="I7" s="260"/>
      <c r="J7" s="260"/>
    </row>
    <row r="8" spans="1:10" s="250" customFormat="1" ht="12.75" customHeight="1">
      <c r="A8" s="265">
        <v>1</v>
      </c>
      <c r="B8" s="266" t="s">
        <v>178</v>
      </c>
      <c r="C8" s="266" t="s">
        <v>179</v>
      </c>
      <c r="D8" s="267" t="s">
        <v>180</v>
      </c>
      <c r="E8" s="268">
        <v>5</v>
      </c>
      <c r="F8" s="268">
        <v>6</v>
      </c>
      <c r="H8" s="269"/>
      <c r="I8" s="269"/>
      <c r="J8" s="269"/>
    </row>
    <row r="9" spans="1:10" s="185" customFormat="1" ht="20.25">
      <c r="A9" s="181" t="s">
        <v>182</v>
      </c>
      <c r="B9" s="182"/>
      <c r="C9" s="270"/>
      <c r="D9" s="254">
        <f>D10+D11+D41+D85+D169+D196+D214+D239+D244+D252+D302+D317+D329+D338+D343+D348+D353+D357+D367+D371+D378+D383+D409+D415+D176+D181</f>
        <v>785378849</v>
      </c>
      <c r="E9" s="254">
        <f>E10+E11+E41+E85+E169+E196+E214+E239+E244+E252+E302+E317+E329+E338+E343+E348+E353+E357+E367+E371+E378+E383+E409+E415+E176+E181</f>
        <v>817815799</v>
      </c>
      <c r="F9" s="254">
        <f>F10+F11+F41+F85+F169+F196+F214+F239+F244+F252+F302+F317+F329+F338+F343+F348+F353+F357+F367+F371+F378+F383+F409+F415+F176+F181</f>
        <v>850392330</v>
      </c>
      <c r="H9" s="260"/>
      <c r="I9" s="260"/>
      <c r="J9" s="260"/>
    </row>
    <row r="10" spans="1:10" s="185" customFormat="1" ht="20.25">
      <c r="A10" s="181" t="s">
        <v>183</v>
      </c>
      <c r="B10" s="182"/>
      <c r="C10" s="270"/>
      <c r="D10" s="254">
        <v>0</v>
      </c>
      <c r="E10" s="184">
        <v>5500000</v>
      </c>
      <c r="F10" s="184">
        <v>10900000</v>
      </c>
      <c r="H10" s="271"/>
      <c r="I10" s="260"/>
      <c r="J10" s="260"/>
    </row>
    <row r="11" spans="1:10" ht="34.5" customHeight="1">
      <c r="A11" s="187" t="s">
        <v>651</v>
      </c>
      <c r="B11" s="182" t="s">
        <v>815</v>
      </c>
      <c r="C11" s="183"/>
      <c r="D11" s="254">
        <f>D12+D25+D36</f>
        <v>53921062</v>
      </c>
      <c r="E11" s="254">
        <f>E12+E25+E36</f>
        <v>40972800</v>
      </c>
      <c r="F11" s="254">
        <f>F12+F25+F36</f>
        <v>41674024</v>
      </c>
      <c r="H11" s="194"/>
      <c r="I11" s="194"/>
      <c r="J11" s="194"/>
    </row>
    <row r="12" spans="1:6" ht="26.25">
      <c r="A12" s="187" t="s">
        <v>653</v>
      </c>
      <c r="B12" s="182" t="s">
        <v>655</v>
      </c>
      <c r="C12" s="183"/>
      <c r="D12" s="254">
        <f>D13</f>
        <v>38702747</v>
      </c>
      <c r="E12" s="254">
        <f>E13</f>
        <v>27880971</v>
      </c>
      <c r="F12" s="254">
        <f>F13</f>
        <v>28377613</v>
      </c>
    </row>
    <row r="13" spans="1:6" ht="37.5" customHeight="1">
      <c r="A13" s="197" t="s">
        <v>662</v>
      </c>
      <c r="B13" s="182" t="s">
        <v>663</v>
      </c>
      <c r="C13" s="183"/>
      <c r="D13" s="254">
        <f>D18+D23+D14+D16</f>
        <v>38702747</v>
      </c>
      <c r="E13" s="254">
        <f>E18+E23+E14+E16</f>
        <v>27880971</v>
      </c>
      <c r="F13" s="254">
        <f>F18+F23+F14+F16</f>
        <v>28377613</v>
      </c>
    </row>
    <row r="14" spans="1:6" ht="25.5">
      <c r="A14" s="197" t="s">
        <v>816</v>
      </c>
      <c r="B14" s="182" t="s">
        <v>665</v>
      </c>
      <c r="C14" s="183"/>
      <c r="D14" s="254">
        <f>D15</f>
        <v>5659547</v>
      </c>
      <c r="E14" s="254">
        <f>E15</f>
        <v>0</v>
      </c>
      <c r="F14" s="254">
        <f>F15</f>
        <v>0</v>
      </c>
    </row>
    <row r="15" spans="1:6" ht="25.5">
      <c r="A15" s="197" t="s">
        <v>664</v>
      </c>
      <c r="B15" s="182" t="s">
        <v>665</v>
      </c>
      <c r="C15" s="183" t="s">
        <v>195</v>
      </c>
      <c r="D15" s="254">
        <v>5659547</v>
      </c>
      <c r="E15" s="254">
        <v>0</v>
      </c>
      <c r="F15" s="254">
        <v>0</v>
      </c>
    </row>
    <row r="16" spans="1:6" ht="25.5">
      <c r="A16" s="197" t="s">
        <v>666</v>
      </c>
      <c r="B16" s="182" t="s">
        <v>667</v>
      </c>
      <c r="C16" s="183"/>
      <c r="D16" s="254">
        <f>D17</f>
        <v>13031000</v>
      </c>
      <c r="E16" s="254">
        <f>E17</f>
        <v>10783981</v>
      </c>
      <c r="F16" s="254">
        <f>F17</f>
        <v>11000160</v>
      </c>
    </row>
    <row r="17" spans="1:6" ht="38.25">
      <c r="A17" s="192" t="s">
        <v>194</v>
      </c>
      <c r="B17" s="182" t="s">
        <v>667</v>
      </c>
      <c r="C17" s="183" t="s">
        <v>195</v>
      </c>
      <c r="D17" s="184">
        <f>10008450+3022550</f>
        <v>13031000</v>
      </c>
      <c r="E17" s="184">
        <v>10783981</v>
      </c>
      <c r="F17" s="184">
        <v>11000160</v>
      </c>
    </row>
    <row r="18" spans="1:6" ht="20.25" customHeight="1">
      <c r="A18" s="187" t="s">
        <v>366</v>
      </c>
      <c r="B18" s="207" t="s">
        <v>817</v>
      </c>
      <c r="C18" s="183"/>
      <c r="D18" s="254">
        <f>D19+D20+D21+D22</f>
        <v>20012200</v>
      </c>
      <c r="E18" s="254">
        <f>E19+E20+E21+E22</f>
        <v>17096990</v>
      </c>
      <c r="F18" s="254">
        <f>F19+F20+F21+F22</f>
        <v>17377453</v>
      </c>
    </row>
    <row r="19" spans="1:6" ht="39.75" customHeight="1">
      <c r="A19" s="189" t="s">
        <v>194</v>
      </c>
      <c r="B19" s="207" t="s">
        <v>817</v>
      </c>
      <c r="C19" s="183" t="s">
        <v>195</v>
      </c>
      <c r="D19" s="184">
        <f>12984640+3921360</f>
        <v>16906000</v>
      </c>
      <c r="E19" s="184">
        <v>13990790</v>
      </c>
      <c r="F19" s="184">
        <v>14271253</v>
      </c>
    </row>
    <row r="20" spans="1:6" ht="20.25" customHeight="1">
      <c r="A20" s="192" t="s">
        <v>206</v>
      </c>
      <c r="B20" s="207" t="s">
        <v>817</v>
      </c>
      <c r="C20" s="183" t="s">
        <v>207</v>
      </c>
      <c r="D20" s="184">
        <v>2857000</v>
      </c>
      <c r="E20" s="184">
        <v>2857000</v>
      </c>
      <c r="F20" s="184">
        <v>2857000</v>
      </c>
    </row>
    <row r="21" spans="1:6" ht="15" hidden="1">
      <c r="A21" s="187" t="s">
        <v>429</v>
      </c>
      <c r="B21" s="207" t="s">
        <v>817</v>
      </c>
      <c r="C21" s="183" t="s">
        <v>430</v>
      </c>
      <c r="D21" s="184"/>
      <c r="E21" s="184"/>
      <c r="F21" s="184"/>
    </row>
    <row r="22" spans="1:6" ht="16.5" customHeight="1">
      <c r="A22" s="272" t="s">
        <v>274</v>
      </c>
      <c r="B22" s="207" t="s">
        <v>817</v>
      </c>
      <c r="C22" s="183" t="s">
        <v>275</v>
      </c>
      <c r="D22" s="184">
        <f>242900+6300</f>
        <v>249200</v>
      </c>
      <c r="E22" s="184">
        <f>242900+6300</f>
        <v>249200</v>
      </c>
      <c r="F22" s="184">
        <f>242900+6300</f>
        <v>249200</v>
      </c>
    </row>
    <row r="23" spans="1:6" ht="26.25" hidden="1">
      <c r="A23" s="189" t="s">
        <v>669</v>
      </c>
      <c r="B23" s="182" t="s">
        <v>670</v>
      </c>
      <c r="C23" s="183"/>
      <c r="D23" s="254">
        <f>D24</f>
        <v>0</v>
      </c>
      <c r="E23" s="254">
        <f>E24</f>
        <v>0</v>
      </c>
      <c r="F23" s="254">
        <f>F24</f>
        <v>0</v>
      </c>
    </row>
    <row r="24" spans="1:6" ht="15" hidden="1">
      <c r="A24" s="189" t="s">
        <v>206</v>
      </c>
      <c r="B24" s="182" t="s">
        <v>670</v>
      </c>
      <c r="C24" s="183" t="s">
        <v>207</v>
      </c>
      <c r="D24" s="184"/>
      <c r="E24" s="184"/>
      <c r="F24" s="184"/>
    </row>
    <row r="25" spans="1:6" ht="30.75" customHeight="1">
      <c r="A25" s="187" t="s">
        <v>671</v>
      </c>
      <c r="B25" s="207" t="s">
        <v>672</v>
      </c>
      <c r="C25" s="183"/>
      <c r="D25" s="254">
        <f>D31+D26</f>
        <v>13175800</v>
      </c>
      <c r="E25" s="254">
        <f>E31+E26</f>
        <v>11049314</v>
      </c>
      <c r="F25" s="254">
        <f>F31+F26</f>
        <v>11253896</v>
      </c>
    </row>
    <row r="26" spans="1:6" ht="15.75" customHeight="1" hidden="1">
      <c r="A26" s="197" t="s">
        <v>656</v>
      </c>
      <c r="B26" s="182" t="s">
        <v>673</v>
      </c>
      <c r="C26" s="183"/>
      <c r="D26" s="254">
        <f>D27+D29</f>
        <v>0</v>
      </c>
      <c r="E26" s="254">
        <f>E27+E29</f>
        <v>0</v>
      </c>
      <c r="F26" s="254">
        <f>F27+F29</f>
        <v>0</v>
      </c>
    </row>
    <row r="27" spans="1:6" ht="30.75" customHeight="1" hidden="1">
      <c r="A27" s="199" t="s">
        <v>658</v>
      </c>
      <c r="B27" s="182" t="s">
        <v>674</v>
      </c>
      <c r="C27" s="183"/>
      <c r="D27" s="254">
        <f>D28</f>
        <v>0</v>
      </c>
      <c r="E27" s="254">
        <f>E28</f>
        <v>0</v>
      </c>
      <c r="F27" s="254">
        <f>F28</f>
        <v>0</v>
      </c>
    </row>
    <row r="28" spans="1:6" ht="18" customHeight="1" hidden="1">
      <c r="A28" s="223" t="s">
        <v>244</v>
      </c>
      <c r="B28" s="182" t="s">
        <v>674</v>
      </c>
      <c r="C28" s="183" t="s">
        <v>245</v>
      </c>
      <c r="D28" s="254"/>
      <c r="E28" s="254"/>
      <c r="F28" s="254"/>
    </row>
    <row r="29" spans="1:6" ht="30.75" customHeight="1" hidden="1">
      <c r="A29" s="223" t="s">
        <v>660</v>
      </c>
      <c r="B29" s="182" t="s">
        <v>675</v>
      </c>
      <c r="C29" s="183"/>
      <c r="D29" s="254">
        <f>D30</f>
        <v>0</v>
      </c>
      <c r="E29" s="254">
        <f>E30</f>
        <v>0</v>
      </c>
      <c r="F29" s="254">
        <f>F30</f>
        <v>0</v>
      </c>
    </row>
    <row r="30" spans="1:6" ht="19.5" customHeight="1" hidden="1">
      <c r="A30" s="192" t="s">
        <v>206</v>
      </c>
      <c r="B30" s="182" t="s">
        <v>675</v>
      </c>
      <c r="C30" s="183" t="s">
        <v>207</v>
      </c>
      <c r="D30" s="254"/>
      <c r="E30" s="254"/>
      <c r="F30" s="254"/>
    </row>
    <row r="31" spans="1:6" ht="28.5" customHeight="1">
      <c r="A31" s="199" t="s">
        <v>676</v>
      </c>
      <c r="B31" s="207" t="s">
        <v>677</v>
      </c>
      <c r="C31" s="183"/>
      <c r="D31" s="254">
        <f>D32</f>
        <v>13175800</v>
      </c>
      <c r="E31" s="254">
        <f>E32</f>
        <v>11049314</v>
      </c>
      <c r="F31" s="254">
        <f>F32</f>
        <v>11253896</v>
      </c>
    </row>
    <row r="32" spans="1:6" ht="28.5" customHeight="1">
      <c r="A32" s="187" t="s">
        <v>366</v>
      </c>
      <c r="B32" s="207" t="s">
        <v>678</v>
      </c>
      <c r="C32" s="183"/>
      <c r="D32" s="254">
        <f>D33+D34+D35</f>
        <v>13175800</v>
      </c>
      <c r="E32" s="254">
        <f>E33+E34+E35</f>
        <v>11049314</v>
      </c>
      <c r="F32" s="254">
        <f>F33+F34+F35</f>
        <v>11253896</v>
      </c>
    </row>
    <row r="33" spans="1:6" ht="39.75" customHeight="1">
      <c r="A33" s="189" t="s">
        <v>194</v>
      </c>
      <c r="B33" s="207" t="s">
        <v>678</v>
      </c>
      <c r="C33" s="183" t="s">
        <v>195</v>
      </c>
      <c r="D33" s="184">
        <f>12332000</f>
        <v>12332000</v>
      </c>
      <c r="E33" s="184">
        <v>10205514</v>
      </c>
      <c r="F33" s="184">
        <v>10410096</v>
      </c>
    </row>
    <row r="34" spans="1:6" ht="15">
      <c r="A34" s="189" t="s">
        <v>206</v>
      </c>
      <c r="B34" s="207" t="s">
        <v>678</v>
      </c>
      <c r="C34" s="183" t="s">
        <v>207</v>
      </c>
      <c r="D34" s="184">
        <f>702300+109700</f>
        <v>812000</v>
      </c>
      <c r="E34" s="184">
        <f>702300+109700</f>
        <v>812000</v>
      </c>
      <c r="F34" s="184">
        <f>702300+109700</f>
        <v>812000</v>
      </c>
    </row>
    <row r="35" spans="1:6" ht="15" customHeight="1">
      <c r="A35" s="272" t="s">
        <v>274</v>
      </c>
      <c r="B35" s="207" t="s">
        <v>678</v>
      </c>
      <c r="C35" s="183" t="s">
        <v>275</v>
      </c>
      <c r="D35" s="184">
        <f>31800</f>
        <v>31800</v>
      </c>
      <c r="E35" s="184">
        <f>31800</f>
        <v>31800</v>
      </c>
      <c r="F35" s="184">
        <f>31800</f>
        <v>31800</v>
      </c>
    </row>
    <row r="36" spans="1:6" ht="41.25" customHeight="1">
      <c r="A36" s="187" t="s">
        <v>681</v>
      </c>
      <c r="B36" s="182" t="s">
        <v>682</v>
      </c>
      <c r="C36" s="183"/>
      <c r="D36" s="254">
        <f aca="true" t="shared" si="0" ref="D36:F37">D37</f>
        <v>2042515</v>
      </c>
      <c r="E36" s="254">
        <f t="shared" si="0"/>
        <v>2042515</v>
      </c>
      <c r="F36" s="254">
        <f t="shared" si="0"/>
        <v>2042515</v>
      </c>
    </row>
    <row r="37" spans="1:6" ht="30.75" customHeight="1">
      <c r="A37" s="192" t="s">
        <v>683</v>
      </c>
      <c r="B37" s="182" t="s">
        <v>818</v>
      </c>
      <c r="C37" s="183"/>
      <c r="D37" s="254">
        <f t="shared" si="0"/>
        <v>2042515</v>
      </c>
      <c r="E37" s="254">
        <f t="shared" si="0"/>
        <v>2042515</v>
      </c>
      <c r="F37" s="254">
        <f t="shared" si="0"/>
        <v>2042515</v>
      </c>
    </row>
    <row r="38" spans="1:6" ht="42.75" customHeight="1">
      <c r="A38" s="192" t="s">
        <v>685</v>
      </c>
      <c r="B38" s="182" t="s">
        <v>686</v>
      </c>
      <c r="C38" s="183"/>
      <c r="D38" s="254">
        <f>D39+D40</f>
        <v>2042515</v>
      </c>
      <c r="E38" s="254">
        <f>E39+E40</f>
        <v>2042515</v>
      </c>
      <c r="F38" s="254">
        <f>F39+F40</f>
        <v>2042515</v>
      </c>
    </row>
    <row r="39" spans="1:6" ht="41.25" customHeight="1">
      <c r="A39" s="192" t="s">
        <v>194</v>
      </c>
      <c r="B39" s="182" t="s">
        <v>686</v>
      </c>
      <c r="C39" s="183" t="s">
        <v>195</v>
      </c>
      <c r="D39" s="184">
        <v>1488115</v>
      </c>
      <c r="E39" s="184">
        <v>1488115</v>
      </c>
      <c r="F39" s="184">
        <v>1488115</v>
      </c>
    </row>
    <row r="40" spans="1:6" ht="19.5" customHeight="1">
      <c r="A40" s="189" t="s">
        <v>244</v>
      </c>
      <c r="B40" s="182" t="s">
        <v>686</v>
      </c>
      <c r="C40" s="183" t="s">
        <v>245</v>
      </c>
      <c r="D40" s="184">
        <v>554400</v>
      </c>
      <c r="E40" s="184">
        <v>554400</v>
      </c>
      <c r="F40" s="184">
        <v>554400</v>
      </c>
    </row>
    <row r="41" spans="1:10" ht="30.75" customHeight="1">
      <c r="A41" s="187" t="s">
        <v>695</v>
      </c>
      <c r="B41" s="182" t="s">
        <v>212</v>
      </c>
      <c r="C41" s="183"/>
      <c r="D41" s="254">
        <f>D42+D59+D75</f>
        <v>35985180</v>
      </c>
      <c r="E41" s="254">
        <f>E42+E59+E75</f>
        <v>27158001</v>
      </c>
      <c r="F41" s="254">
        <f>F42+F59+F75</f>
        <v>41869967</v>
      </c>
      <c r="H41" s="194"/>
      <c r="I41" s="194"/>
      <c r="J41" s="194"/>
    </row>
    <row r="42" spans="1:6" ht="45.75" customHeight="1">
      <c r="A42" s="191" t="s">
        <v>703</v>
      </c>
      <c r="B42" s="182" t="s">
        <v>288</v>
      </c>
      <c r="C42" s="183"/>
      <c r="D42" s="254">
        <f>D43+D53+D56</f>
        <v>9551990</v>
      </c>
      <c r="E42" s="254">
        <f>E43+E53+E56</f>
        <v>9551990</v>
      </c>
      <c r="F42" s="254">
        <f>F43+F53+F56</f>
        <v>9551990</v>
      </c>
    </row>
    <row r="43" spans="1:6" ht="30" customHeight="1">
      <c r="A43" s="191" t="s">
        <v>704</v>
      </c>
      <c r="B43" s="182" t="s">
        <v>705</v>
      </c>
      <c r="C43" s="183"/>
      <c r="D43" s="184">
        <f>D44+D47+D50</f>
        <v>9272890</v>
      </c>
      <c r="E43" s="184">
        <f>E44+E47+E50</f>
        <v>9272890</v>
      </c>
      <c r="F43" s="184">
        <f>F44+F47+F50</f>
        <v>9272890</v>
      </c>
    </row>
    <row r="44" spans="1:6" ht="26.25">
      <c r="A44" s="188" t="s">
        <v>706</v>
      </c>
      <c r="B44" s="182" t="s">
        <v>707</v>
      </c>
      <c r="C44" s="183"/>
      <c r="D44" s="184">
        <f>D46+D45</f>
        <v>39216</v>
      </c>
      <c r="E44" s="184">
        <f>E46+E45</f>
        <v>39216</v>
      </c>
      <c r="F44" s="184">
        <f>F46+F45</f>
        <v>39216</v>
      </c>
    </row>
    <row r="45" spans="1:6" ht="30.75" customHeight="1">
      <c r="A45" s="189" t="s">
        <v>206</v>
      </c>
      <c r="B45" s="182" t="s">
        <v>707</v>
      </c>
      <c r="C45" s="183" t="s">
        <v>207</v>
      </c>
      <c r="D45" s="184">
        <v>300</v>
      </c>
      <c r="E45" s="184">
        <v>300</v>
      </c>
      <c r="F45" s="184">
        <v>300</v>
      </c>
    </row>
    <row r="46" spans="1:6" ht="17.25" customHeight="1">
      <c r="A46" s="223" t="s">
        <v>244</v>
      </c>
      <c r="B46" s="182" t="s">
        <v>707</v>
      </c>
      <c r="C46" s="183" t="s">
        <v>245</v>
      </c>
      <c r="D46" s="184">
        <v>38916</v>
      </c>
      <c r="E46" s="184">
        <v>38916</v>
      </c>
      <c r="F46" s="184">
        <v>38916</v>
      </c>
    </row>
    <row r="47" spans="1:6" ht="29.25" customHeight="1">
      <c r="A47" s="188" t="s">
        <v>708</v>
      </c>
      <c r="B47" s="182" t="s">
        <v>709</v>
      </c>
      <c r="C47" s="183"/>
      <c r="D47" s="184">
        <f>D49+D48</f>
        <v>217901</v>
      </c>
      <c r="E47" s="184">
        <f>E49+E48</f>
        <v>217901</v>
      </c>
      <c r="F47" s="184">
        <f>F49+F48</f>
        <v>217901</v>
      </c>
    </row>
    <row r="48" spans="1:6" ht="31.5" customHeight="1">
      <c r="A48" s="189" t="s">
        <v>206</v>
      </c>
      <c r="B48" s="182" t="s">
        <v>709</v>
      </c>
      <c r="C48" s="183" t="s">
        <v>207</v>
      </c>
      <c r="D48" s="184">
        <v>2800</v>
      </c>
      <c r="E48" s="184">
        <v>2800</v>
      </c>
      <c r="F48" s="184">
        <v>2800</v>
      </c>
    </row>
    <row r="49" spans="1:6" ht="15">
      <c r="A49" s="223" t="s">
        <v>244</v>
      </c>
      <c r="B49" s="182" t="s">
        <v>709</v>
      </c>
      <c r="C49" s="183" t="s">
        <v>245</v>
      </c>
      <c r="D49" s="184">
        <v>215101</v>
      </c>
      <c r="E49" s="184">
        <v>215101</v>
      </c>
      <c r="F49" s="184">
        <v>215101</v>
      </c>
    </row>
    <row r="50" spans="1:6" ht="15">
      <c r="A50" s="199" t="s">
        <v>710</v>
      </c>
      <c r="B50" s="182" t="s">
        <v>711</v>
      </c>
      <c r="C50" s="183"/>
      <c r="D50" s="184">
        <f>D52+D51</f>
        <v>9015773</v>
      </c>
      <c r="E50" s="184">
        <f>E52+E51</f>
        <v>9015773</v>
      </c>
      <c r="F50" s="184">
        <f>F52+F51</f>
        <v>9015773</v>
      </c>
    </row>
    <row r="51" spans="1:6" ht="32.25" customHeight="1">
      <c r="A51" s="189" t="s">
        <v>206</v>
      </c>
      <c r="B51" s="182" t="s">
        <v>711</v>
      </c>
      <c r="C51" s="183" t="s">
        <v>207</v>
      </c>
      <c r="D51" s="184">
        <v>103200</v>
      </c>
      <c r="E51" s="184">
        <v>103200</v>
      </c>
      <c r="F51" s="184">
        <v>103200</v>
      </c>
    </row>
    <row r="52" spans="1:6" ht="19.5" customHeight="1">
      <c r="A52" s="223" t="s">
        <v>244</v>
      </c>
      <c r="B52" s="182" t="s">
        <v>819</v>
      </c>
      <c r="C52" s="183" t="s">
        <v>245</v>
      </c>
      <c r="D52" s="184">
        <v>8912573</v>
      </c>
      <c r="E52" s="184">
        <v>8912573</v>
      </c>
      <c r="F52" s="184">
        <v>8912573</v>
      </c>
    </row>
    <row r="53" spans="1:6" ht="33" customHeight="1">
      <c r="A53" s="191" t="s">
        <v>289</v>
      </c>
      <c r="B53" s="182" t="s">
        <v>290</v>
      </c>
      <c r="C53" s="183"/>
      <c r="D53" s="184">
        <f aca="true" t="shared" si="1" ref="D53:F54">D54</f>
        <v>84000</v>
      </c>
      <c r="E53" s="184">
        <f t="shared" si="1"/>
        <v>84000</v>
      </c>
      <c r="F53" s="184">
        <f t="shared" si="1"/>
        <v>84000</v>
      </c>
    </row>
    <row r="54" spans="1:6" ht="15" customHeight="1">
      <c r="A54" s="189" t="s">
        <v>291</v>
      </c>
      <c r="B54" s="207" t="s">
        <v>292</v>
      </c>
      <c r="C54" s="183"/>
      <c r="D54" s="184">
        <f t="shared" si="1"/>
        <v>84000</v>
      </c>
      <c r="E54" s="184">
        <f t="shared" si="1"/>
        <v>84000</v>
      </c>
      <c r="F54" s="184">
        <f t="shared" si="1"/>
        <v>84000</v>
      </c>
    </row>
    <row r="55" spans="1:6" ht="27.75" customHeight="1">
      <c r="A55" s="189" t="s">
        <v>206</v>
      </c>
      <c r="B55" s="207" t="s">
        <v>292</v>
      </c>
      <c r="C55" s="183" t="s">
        <v>207</v>
      </c>
      <c r="D55" s="184">
        <f>34000+50000</f>
        <v>84000</v>
      </c>
      <c r="E55" s="184">
        <f>34000+50000</f>
        <v>84000</v>
      </c>
      <c r="F55" s="184">
        <f>34000+50000</f>
        <v>84000</v>
      </c>
    </row>
    <row r="56" spans="1:6" ht="27.75" customHeight="1">
      <c r="A56" s="192" t="s">
        <v>697</v>
      </c>
      <c r="B56" s="182" t="s">
        <v>698</v>
      </c>
      <c r="C56" s="183"/>
      <c r="D56" s="254">
        <f aca="true" t="shared" si="2" ref="D56:F57">D57</f>
        <v>195100</v>
      </c>
      <c r="E56" s="254">
        <f t="shared" si="2"/>
        <v>195100</v>
      </c>
      <c r="F56" s="254">
        <f t="shared" si="2"/>
        <v>195100</v>
      </c>
    </row>
    <row r="57" spans="1:6" ht="18.75" customHeight="1">
      <c r="A57" s="273" t="s">
        <v>699</v>
      </c>
      <c r="B57" s="182" t="s">
        <v>701</v>
      </c>
      <c r="C57" s="183"/>
      <c r="D57" s="254">
        <f t="shared" si="2"/>
        <v>195100</v>
      </c>
      <c r="E57" s="254">
        <f t="shared" si="2"/>
        <v>195100</v>
      </c>
      <c r="F57" s="254">
        <f t="shared" si="2"/>
        <v>195100</v>
      </c>
    </row>
    <row r="58" spans="1:6" ht="18.75" customHeight="1">
      <c r="A58" s="272" t="s">
        <v>244</v>
      </c>
      <c r="B58" s="182" t="s">
        <v>701</v>
      </c>
      <c r="C58" s="183" t="s">
        <v>245</v>
      </c>
      <c r="D58" s="184">
        <v>195100</v>
      </c>
      <c r="E58" s="184">
        <v>195100</v>
      </c>
      <c r="F58" s="184">
        <v>195100</v>
      </c>
    </row>
    <row r="59" spans="1:6" ht="53.25" customHeight="1">
      <c r="A59" s="273" t="s">
        <v>713</v>
      </c>
      <c r="B59" s="190" t="s">
        <v>214</v>
      </c>
      <c r="C59" s="193"/>
      <c r="D59" s="254">
        <f>D60+D63+D67+D744+D70</f>
        <v>23996490</v>
      </c>
      <c r="E59" s="254">
        <f>E60+E63+E67+E744+E70</f>
        <v>15169311</v>
      </c>
      <c r="F59" s="254">
        <f>F60+F63+F67+F744+F70</f>
        <v>29881277</v>
      </c>
    </row>
    <row r="60" spans="1:6" ht="42" customHeight="1">
      <c r="A60" s="199" t="s">
        <v>714</v>
      </c>
      <c r="B60" s="182" t="s">
        <v>715</v>
      </c>
      <c r="C60" s="183"/>
      <c r="D60" s="254">
        <f aca="true" t="shared" si="3" ref="D60:F61">D61</f>
        <v>11155617</v>
      </c>
      <c r="E60" s="254">
        <f t="shared" si="3"/>
        <v>11155617</v>
      </c>
      <c r="F60" s="254">
        <f t="shared" si="3"/>
        <v>11155617</v>
      </c>
    </row>
    <row r="61" spans="1:6" ht="29.25" customHeight="1">
      <c r="A61" s="188" t="s">
        <v>716</v>
      </c>
      <c r="B61" s="182" t="s">
        <v>717</v>
      </c>
      <c r="C61" s="183"/>
      <c r="D61" s="254">
        <f t="shared" si="3"/>
        <v>11155617</v>
      </c>
      <c r="E61" s="254">
        <f t="shared" si="3"/>
        <v>11155617</v>
      </c>
      <c r="F61" s="254">
        <f t="shared" si="3"/>
        <v>11155617</v>
      </c>
    </row>
    <row r="62" spans="1:6" ht="21" customHeight="1">
      <c r="A62" s="223" t="s">
        <v>244</v>
      </c>
      <c r="B62" s="182" t="s">
        <v>717</v>
      </c>
      <c r="C62" s="183" t="s">
        <v>245</v>
      </c>
      <c r="D62" s="184">
        <f>1760240+9395377</f>
        <v>11155617</v>
      </c>
      <c r="E62" s="184">
        <f>1760240+9395377</f>
        <v>11155617</v>
      </c>
      <c r="F62" s="184">
        <f>1760240+9395377</f>
        <v>11155617</v>
      </c>
    </row>
    <row r="63" spans="1:6" ht="51.75" customHeight="1">
      <c r="A63" s="195" t="s">
        <v>293</v>
      </c>
      <c r="B63" s="190" t="s">
        <v>294</v>
      </c>
      <c r="C63" s="193"/>
      <c r="D63" s="254">
        <f>D64</f>
        <v>1044300</v>
      </c>
      <c r="E63" s="254">
        <f>E64</f>
        <v>1044300</v>
      </c>
      <c r="F63" s="254">
        <f>F64</f>
        <v>1044300</v>
      </c>
    </row>
    <row r="64" spans="1:6" ht="46.5" customHeight="1">
      <c r="A64" s="274" t="s">
        <v>727</v>
      </c>
      <c r="B64" s="190" t="s">
        <v>728</v>
      </c>
      <c r="C64" s="193"/>
      <c r="D64" s="254">
        <f>D65+D66</f>
        <v>1044300</v>
      </c>
      <c r="E64" s="254">
        <f>E65+E66</f>
        <v>1044300</v>
      </c>
      <c r="F64" s="254">
        <f>F65+F66</f>
        <v>1044300</v>
      </c>
    </row>
    <row r="65" spans="1:6" ht="38.25" customHeight="1">
      <c r="A65" s="189" t="s">
        <v>194</v>
      </c>
      <c r="B65" s="190" t="s">
        <v>728</v>
      </c>
      <c r="C65" s="193" t="s">
        <v>195</v>
      </c>
      <c r="D65" s="184">
        <v>1044300</v>
      </c>
      <c r="E65" s="184">
        <v>1044300</v>
      </c>
      <c r="F65" s="184">
        <v>1044300</v>
      </c>
    </row>
    <row r="66" spans="1:6" ht="15" hidden="1">
      <c r="A66" s="189" t="s">
        <v>206</v>
      </c>
      <c r="B66" s="190" t="s">
        <v>728</v>
      </c>
      <c r="C66" s="193" t="s">
        <v>207</v>
      </c>
      <c r="D66" s="184"/>
      <c r="E66" s="184"/>
      <c r="F66" s="184"/>
    </row>
    <row r="67" spans="1:6" ht="31.5" customHeight="1">
      <c r="A67" s="200" t="s">
        <v>297</v>
      </c>
      <c r="B67" s="182" t="s">
        <v>298</v>
      </c>
      <c r="C67" s="183"/>
      <c r="D67" s="184">
        <f aca="true" t="shared" si="4" ref="D67:F68">D68</f>
        <v>27000</v>
      </c>
      <c r="E67" s="184">
        <f t="shared" si="4"/>
        <v>27000</v>
      </c>
      <c r="F67" s="184">
        <f t="shared" si="4"/>
        <v>27000</v>
      </c>
    </row>
    <row r="68" spans="1:6" ht="27" customHeight="1">
      <c r="A68" s="191" t="s">
        <v>299</v>
      </c>
      <c r="B68" s="207" t="s">
        <v>300</v>
      </c>
      <c r="C68" s="183"/>
      <c r="D68" s="184">
        <f t="shared" si="4"/>
        <v>27000</v>
      </c>
      <c r="E68" s="184">
        <f t="shared" si="4"/>
        <v>27000</v>
      </c>
      <c r="F68" s="184">
        <f t="shared" si="4"/>
        <v>27000</v>
      </c>
    </row>
    <row r="69" spans="1:6" ht="26.25" customHeight="1">
      <c r="A69" s="189" t="s">
        <v>206</v>
      </c>
      <c r="B69" s="207" t="s">
        <v>300</v>
      </c>
      <c r="C69" s="183" t="s">
        <v>207</v>
      </c>
      <c r="D69" s="184">
        <v>27000</v>
      </c>
      <c r="E69" s="184">
        <v>27000</v>
      </c>
      <c r="F69" s="184">
        <v>27000</v>
      </c>
    </row>
    <row r="70" spans="1:6" ht="31.5" customHeight="1">
      <c r="A70" s="195" t="s">
        <v>215</v>
      </c>
      <c r="B70" s="182" t="s">
        <v>216</v>
      </c>
      <c r="C70" s="183"/>
      <c r="D70" s="184">
        <f>D71</f>
        <v>11769573</v>
      </c>
      <c r="E70" s="184">
        <f>E71</f>
        <v>2942394</v>
      </c>
      <c r="F70" s="184">
        <f>F71</f>
        <v>17654360</v>
      </c>
    </row>
    <row r="71" spans="1:6" ht="38.25" customHeight="1">
      <c r="A71" s="196" t="s">
        <v>798</v>
      </c>
      <c r="B71" s="182" t="s">
        <v>218</v>
      </c>
      <c r="C71" s="183"/>
      <c r="D71" s="184">
        <f>D74+D72+D73</f>
        <v>11769573</v>
      </c>
      <c r="E71" s="184">
        <f>E74+E72+E73</f>
        <v>2942394</v>
      </c>
      <c r="F71" s="184">
        <f>F74+F72+F73</f>
        <v>17654360</v>
      </c>
    </row>
    <row r="72" spans="1:6" ht="38.25" customHeight="1">
      <c r="A72" s="189" t="s">
        <v>194</v>
      </c>
      <c r="B72" s="182" t="s">
        <v>218</v>
      </c>
      <c r="C72" s="183" t="s">
        <v>195</v>
      </c>
      <c r="D72" s="184">
        <v>173935</v>
      </c>
      <c r="E72" s="184">
        <v>43484</v>
      </c>
      <c r="F72" s="184">
        <v>260902</v>
      </c>
    </row>
    <row r="73" spans="1:6" ht="18.75" customHeight="1">
      <c r="A73" s="192" t="s">
        <v>206</v>
      </c>
      <c r="B73" s="182" t="s">
        <v>218</v>
      </c>
      <c r="C73" s="183" t="s">
        <v>207</v>
      </c>
      <c r="D73" s="184">
        <v>24000</v>
      </c>
      <c r="E73" s="184">
        <v>6000</v>
      </c>
      <c r="F73" s="184">
        <v>36000</v>
      </c>
    </row>
    <row r="74" spans="1:6" ht="24.75" customHeight="1">
      <c r="A74" s="187" t="s">
        <v>429</v>
      </c>
      <c r="B74" s="182" t="s">
        <v>218</v>
      </c>
      <c r="C74" s="183" t="s">
        <v>430</v>
      </c>
      <c r="D74" s="184">
        <v>11571638</v>
      </c>
      <c r="E74" s="184">
        <v>2892910</v>
      </c>
      <c r="F74" s="184">
        <v>17357458</v>
      </c>
    </row>
    <row r="75" spans="1:6" ht="39.75" customHeight="1">
      <c r="A75" s="188" t="s">
        <v>820</v>
      </c>
      <c r="B75" s="182" t="s">
        <v>730</v>
      </c>
      <c r="C75" s="183"/>
      <c r="D75" s="254">
        <f>D76+D81</f>
        <v>2436700</v>
      </c>
      <c r="E75" s="254">
        <f>E76+E81</f>
        <v>2436700</v>
      </c>
      <c r="F75" s="254">
        <f>F76+F81</f>
        <v>2436700</v>
      </c>
    </row>
    <row r="76" spans="1:6" ht="26.25" hidden="1">
      <c r="A76" s="188" t="s">
        <v>821</v>
      </c>
      <c r="B76" s="182" t="s">
        <v>822</v>
      </c>
      <c r="C76" s="183"/>
      <c r="D76" s="254">
        <f>D77+D79</f>
        <v>0</v>
      </c>
      <c r="E76" s="254">
        <f>E77+E79</f>
        <v>0</v>
      </c>
      <c r="F76" s="254">
        <f>F77+F79</f>
        <v>0</v>
      </c>
    </row>
    <row r="77" spans="1:6" ht="26.25" hidden="1">
      <c r="A77" s="188" t="s">
        <v>823</v>
      </c>
      <c r="B77" s="182" t="s">
        <v>824</v>
      </c>
      <c r="C77" s="183"/>
      <c r="D77" s="254">
        <f>D78</f>
        <v>0</v>
      </c>
      <c r="E77" s="254">
        <f>E78</f>
        <v>0</v>
      </c>
      <c r="F77" s="254">
        <f>F78</f>
        <v>0</v>
      </c>
    </row>
    <row r="78" spans="1:6" ht="26.25" hidden="1">
      <c r="A78" s="189" t="s">
        <v>614</v>
      </c>
      <c r="B78" s="182" t="s">
        <v>824</v>
      </c>
      <c r="C78" s="193" t="s">
        <v>615</v>
      </c>
      <c r="D78" s="254"/>
      <c r="E78" s="254"/>
      <c r="F78" s="254"/>
    </row>
    <row r="79" spans="1:6" ht="15" hidden="1">
      <c r="A79" s="188" t="s">
        <v>825</v>
      </c>
      <c r="B79" s="182" t="s">
        <v>826</v>
      </c>
      <c r="C79" s="193"/>
      <c r="D79" s="254">
        <f>D80</f>
        <v>0</v>
      </c>
      <c r="E79" s="254">
        <f>E80</f>
        <v>0</v>
      </c>
      <c r="F79" s="254">
        <f>F80</f>
        <v>0</v>
      </c>
    </row>
    <row r="80" spans="1:6" ht="26.25" hidden="1">
      <c r="A80" s="189" t="s">
        <v>614</v>
      </c>
      <c r="B80" s="182" t="s">
        <v>826</v>
      </c>
      <c r="C80" s="193" t="s">
        <v>615</v>
      </c>
      <c r="D80" s="254"/>
      <c r="E80" s="254"/>
      <c r="F80" s="254"/>
    </row>
    <row r="81" spans="1:6" ht="28.5" customHeight="1">
      <c r="A81" s="197" t="s">
        <v>731</v>
      </c>
      <c r="B81" s="190" t="s">
        <v>732</v>
      </c>
      <c r="C81" s="183"/>
      <c r="D81" s="254">
        <f>D82</f>
        <v>2436700</v>
      </c>
      <c r="E81" s="254">
        <f>E82</f>
        <v>2436700</v>
      </c>
      <c r="F81" s="254">
        <f>F82</f>
        <v>2436700</v>
      </c>
    </row>
    <row r="82" spans="1:6" ht="30.75" customHeight="1">
      <c r="A82" s="188" t="s">
        <v>733</v>
      </c>
      <c r="B82" s="190" t="s">
        <v>734</v>
      </c>
      <c r="C82" s="183"/>
      <c r="D82" s="254">
        <f>D83+D84</f>
        <v>2436700</v>
      </c>
      <c r="E82" s="254">
        <f>E83+E84</f>
        <v>2436700</v>
      </c>
      <c r="F82" s="254">
        <f>F83+F84</f>
        <v>2436700</v>
      </c>
    </row>
    <row r="83" spans="1:6" ht="40.5" customHeight="1">
      <c r="A83" s="189" t="s">
        <v>194</v>
      </c>
      <c r="B83" s="190" t="s">
        <v>734</v>
      </c>
      <c r="C83" s="193" t="s">
        <v>195</v>
      </c>
      <c r="D83" s="184">
        <v>2436700</v>
      </c>
      <c r="E83" s="184">
        <v>2436700</v>
      </c>
      <c r="F83" s="184">
        <v>2436700</v>
      </c>
    </row>
    <row r="84" spans="1:6" ht="15">
      <c r="A84" s="189" t="s">
        <v>206</v>
      </c>
      <c r="B84" s="190" t="s">
        <v>734</v>
      </c>
      <c r="C84" s="193" t="s">
        <v>207</v>
      </c>
      <c r="D84" s="184"/>
      <c r="E84" s="184"/>
      <c r="F84" s="184"/>
    </row>
    <row r="85" spans="1:10" ht="32.25" customHeight="1">
      <c r="A85" s="187" t="s">
        <v>301</v>
      </c>
      <c r="B85" s="182" t="s">
        <v>302</v>
      </c>
      <c r="C85" s="183"/>
      <c r="D85" s="254">
        <f>D86+D143+D156+D165</f>
        <v>568129538</v>
      </c>
      <c r="E85" s="254">
        <f>E86+E143+E156+E165</f>
        <v>650686322</v>
      </c>
      <c r="F85" s="254">
        <f>F86+F143+F156+F165</f>
        <v>680613529</v>
      </c>
      <c r="H85" s="194"/>
      <c r="I85" s="194"/>
      <c r="J85" s="194"/>
    </row>
    <row r="86" spans="1:6" s="198" customFormat="1" ht="50.25" customHeight="1">
      <c r="A86" s="275" t="s">
        <v>529</v>
      </c>
      <c r="B86" s="182" t="s">
        <v>530</v>
      </c>
      <c r="C86" s="183"/>
      <c r="D86" s="254">
        <f>D98+D108+D133+D90+D87+D93+D96</f>
        <v>535506494</v>
      </c>
      <c r="E86" s="254">
        <f>E98+E108+E133+E90+E87+E93+E96</f>
        <v>628663673</v>
      </c>
      <c r="F86" s="254">
        <f>F98+F108+F133+F90+F87+F93+F96</f>
        <v>658206761</v>
      </c>
    </row>
    <row r="87" spans="1:6" s="198" customFormat="1" ht="21" customHeight="1" hidden="1">
      <c r="A87" s="199" t="s">
        <v>545</v>
      </c>
      <c r="B87" s="182" t="s">
        <v>546</v>
      </c>
      <c r="C87" s="183"/>
      <c r="D87" s="254">
        <f aca="true" t="shared" si="5" ref="D87:F88">D88</f>
        <v>0</v>
      </c>
      <c r="E87" s="254">
        <f t="shared" si="5"/>
        <v>0</v>
      </c>
      <c r="F87" s="254">
        <f t="shared" si="5"/>
        <v>0</v>
      </c>
    </row>
    <row r="88" spans="1:6" s="198" customFormat="1" ht="90" customHeight="1" hidden="1">
      <c r="A88" s="224" t="s">
        <v>547</v>
      </c>
      <c r="B88" s="182" t="s">
        <v>548</v>
      </c>
      <c r="C88" s="183"/>
      <c r="D88" s="254">
        <f t="shared" si="5"/>
        <v>0</v>
      </c>
      <c r="E88" s="254">
        <f t="shared" si="5"/>
        <v>0</v>
      </c>
      <c r="F88" s="254">
        <f t="shared" si="5"/>
        <v>0</v>
      </c>
    </row>
    <row r="89" spans="1:6" s="198" customFormat="1" ht="28.5" customHeight="1" hidden="1">
      <c r="A89" s="189" t="s">
        <v>206</v>
      </c>
      <c r="B89" s="182" t="s">
        <v>548</v>
      </c>
      <c r="C89" s="225" t="s">
        <v>207</v>
      </c>
      <c r="D89" s="184"/>
      <c r="E89" s="184"/>
      <c r="F89" s="184"/>
    </row>
    <row r="90" spans="1:6" s="198" customFormat="1" ht="19.5" customHeight="1">
      <c r="A90" s="199" t="s">
        <v>827</v>
      </c>
      <c r="B90" s="182" t="s">
        <v>550</v>
      </c>
      <c r="C90" s="225"/>
      <c r="D90" s="184">
        <f aca="true" t="shared" si="6" ref="D90:F91">D91</f>
        <v>1334124</v>
      </c>
      <c r="E90" s="184">
        <f t="shared" si="6"/>
        <v>0</v>
      </c>
      <c r="F90" s="184">
        <f t="shared" si="6"/>
        <v>0</v>
      </c>
    </row>
    <row r="91" spans="1:6" s="198" customFormat="1" ht="43.5" customHeight="1">
      <c r="A91" s="199" t="s">
        <v>551</v>
      </c>
      <c r="B91" s="182" t="s">
        <v>552</v>
      </c>
      <c r="C91" s="225"/>
      <c r="D91" s="184">
        <f t="shared" si="6"/>
        <v>1334124</v>
      </c>
      <c r="E91" s="184">
        <f t="shared" si="6"/>
        <v>0</v>
      </c>
      <c r="F91" s="184">
        <f t="shared" si="6"/>
        <v>0</v>
      </c>
    </row>
    <row r="92" spans="1:6" s="198" customFormat="1" ht="19.5" customHeight="1">
      <c r="A92" s="189" t="s">
        <v>206</v>
      </c>
      <c r="B92" s="182" t="s">
        <v>552</v>
      </c>
      <c r="C92" s="183" t="s">
        <v>207</v>
      </c>
      <c r="D92" s="184">
        <f>867180+466944</f>
        <v>1334124</v>
      </c>
      <c r="E92" s="184">
        <v>0</v>
      </c>
      <c r="F92" s="184">
        <v>0</v>
      </c>
    </row>
    <row r="93" spans="1:6" s="198" customFormat="1" ht="23.25" customHeight="1" hidden="1">
      <c r="A93" s="199" t="s">
        <v>553</v>
      </c>
      <c r="B93" s="182" t="s">
        <v>554</v>
      </c>
      <c r="C93" s="183"/>
      <c r="D93" s="184">
        <f aca="true" t="shared" si="7" ref="D93:F94">D94</f>
        <v>0</v>
      </c>
      <c r="E93" s="184">
        <f t="shared" si="7"/>
        <v>0</v>
      </c>
      <c r="F93" s="184">
        <f t="shared" si="7"/>
        <v>0</v>
      </c>
    </row>
    <row r="94" spans="1:6" s="198" customFormat="1" ht="63" customHeight="1" hidden="1">
      <c r="A94" s="200" t="s">
        <v>555</v>
      </c>
      <c r="B94" s="204" t="s">
        <v>556</v>
      </c>
      <c r="C94" s="183"/>
      <c r="D94" s="184">
        <f t="shared" si="7"/>
        <v>0</v>
      </c>
      <c r="E94" s="184">
        <f t="shared" si="7"/>
        <v>0</v>
      </c>
      <c r="F94" s="184">
        <f t="shared" si="7"/>
        <v>0</v>
      </c>
    </row>
    <row r="95" spans="1:6" s="198" customFormat="1" ht="33" customHeight="1" hidden="1">
      <c r="A95" s="189" t="s">
        <v>206</v>
      </c>
      <c r="B95" s="204" t="s">
        <v>556</v>
      </c>
      <c r="C95" s="183" t="s">
        <v>207</v>
      </c>
      <c r="D95" s="184"/>
      <c r="E95" s="184"/>
      <c r="F95" s="184"/>
    </row>
    <row r="96" spans="1:6" ht="51.75" customHeight="1">
      <c r="A96" s="199" t="s">
        <v>557</v>
      </c>
      <c r="B96" s="182" t="s">
        <v>828</v>
      </c>
      <c r="C96" s="183"/>
      <c r="D96" s="184">
        <f>D97</f>
        <v>2781472</v>
      </c>
      <c r="E96" s="184">
        <f>E97</f>
        <v>2781472</v>
      </c>
      <c r="F96" s="184">
        <f>F97</f>
        <v>3359781</v>
      </c>
    </row>
    <row r="97" spans="1:6" ht="39">
      <c r="A97" s="189" t="s">
        <v>194</v>
      </c>
      <c r="B97" s="182" t="s">
        <v>828</v>
      </c>
      <c r="C97" s="183" t="s">
        <v>195</v>
      </c>
      <c r="D97" s="184">
        <v>2781472</v>
      </c>
      <c r="E97" s="184">
        <v>2781472</v>
      </c>
      <c r="F97" s="184">
        <v>3359781</v>
      </c>
    </row>
    <row r="98" spans="1:6" ht="33" customHeight="1">
      <c r="A98" s="199" t="s">
        <v>531</v>
      </c>
      <c r="B98" s="229" t="s">
        <v>532</v>
      </c>
      <c r="C98" s="183"/>
      <c r="D98" s="254">
        <f>D99+D101+D104</f>
        <v>119394933</v>
      </c>
      <c r="E98" s="254">
        <f>E99+E101+E104</f>
        <v>109326948</v>
      </c>
      <c r="F98" s="254">
        <f>F99+F101+F104</f>
        <v>109803248</v>
      </c>
    </row>
    <row r="99" spans="1:6" ht="17.25" customHeight="1">
      <c r="A99" s="188" t="s">
        <v>719</v>
      </c>
      <c r="B99" s="229" t="s">
        <v>720</v>
      </c>
      <c r="C99" s="183"/>
      <c r="D99" s="254">
        <f>D100</f>
        <v>1141242</v>
      </c>
      <c r="E99" s="254">
        <f>E100</f>
        <v>686442</v>
      </c>
      <c r="F99" s="254">
        <f>F100</f>
        <v>686442</v>
      </c>
    </row>
    <row r="100" spans="1:6" ht="18.75" customHeight="1">
      <c r="A100" s="223" t="s">
        <v>244</v>
      </c>
      <c r="B100" s="229" t="s">
        <v>720</v>
      </c>
      <c r="C100" s="183" t="s">
        <v>245</v>
      </c>
      <c r="D100" s="184">
        <v>1141242</v>
      </c>
      <c r="E100" s="184">
        <v>686442</v>
      </c>
      <c r="F100" s="184">
        <v>686442</v>
      </c>
    </row>
    <row r="101" spans="1:6" ht="66" customHeight="1">
      <c r="A101" s="274" t="s">
        <v>533</v>
      </c>
      <c r="B101" s="182" t="s">
        <v>534</v>
      </c>
      <c r="C101" s="183"/>
      <c r="D101" s="254">
        <f>D102+D103</f>
        <v>72149054</v>
      </c>
      <c r="E101" s="254">
        <f>E102+E103</f>
        <v>67486657</v>
      </c>
      <c r="F101" s="254">
        <f>F102+F103</f>
        <v>67486657</v>
      </c>
    </row>
    <row r="102" spans="1:6" ht="42" customHeight="1">
      <c r="A102" s="276" t="s">
        <v>194</v>
      </c>
      <c r="B102" s="182" t="s">
        <v>534</v>
      </c>
      <c r="C102" s="183" t="s">
        <v>195</v>
      </c>
      <c r="D102" s="184">
        <v>71626719</v>
      </c>
      <c r="E102" s="184">
        <v>66964322</v>
      </c>
      <c r="F102" s="184">
        <v>66964322</v>
      </c>
    </row>
    <row r="103" spans="1:6" ht="23.25" customHeight="1">
      <c r="A103" s="189" t="s">
        <v>206</v>
      </c>
      <c r="B103" s="182" t="s">
        <v>534</v>
      </c>
      <c r="C103" s="183" t="s">
        <v>207</v>
      </c>
      <c r="D103" s="184">
        <v>522335</v>
      </c>
      <c r="E103" s="184">
        <v>522335</v>
      </c>
      <c r="F103" s="184">
        <v>522335</v>
      </c>
    </row>
    <row r="104" spans="1:6" ht="21" customHeight="1">
      <c r="A104" s="199" t="s">
        <v>366</v>
      </c>
      <c r="B104" s="182" t="s">
        <v>539</v>
      </c>
      <c r="C104" s="183"/>
      <c r="D104" s="254">
        <f>D105+D106+D107</f>
        <v>46104637</v>
      </c>
      <c r="E104" s="254">
        <f>E105+E106+E107</f>
        <v>41153849</v>
      </c>
      <c r="F104" s="254">
        <f>F105+F106+F107</f>
        <v>41630149</v>
      </c>
    </row>
    <row r="105" spans="1:6" ht="44.25" customHeight="1">
      <c r="A105" s="189" t="s">
        <v>194</v>
      </c>
      <c r="B105" s="182" t="s">
        <v>539</v>
      </c>
      <c r="C105" s="183" t="s">
        <v>195</v>
      </c>
      <c r="D105" s="184">
        <v>28710800</v>
      </c>
      <c r="E105" s="184">
        <v>23760012</v>
      </c>
      <c r="F105" s="184">
        <v>24236312</v>
      </c>
    </row>
    <row r="106" spans="1:6" ht="24" customHeight="1">
      <c r="A106" s="189" t="s">
        <v>206</v>
      </c>
      <c r="B106" s="182" t="s">
        <v>539</v>
      </c>
      <c r="C106" s="183" t="s">
        <v>207</v>
      </c>
      <c r="D106" s="184">
        <v>15877400</v>
      </c>
      <c r="E106" s="184">
        <v>15877400</v>
      </c>
      <c r="F106" s="184">
        <v>15877400</v>
      </c>
    </row>
    <row r="107" spans="1:6" ht="18" customHeight="1">
      <c r="A107" s="199" t="s">
        <v>274</v>
      </c>
      <c r="B107" s="182" t="s">
        <v>539</v>
      </c>
      <c r="C107" s="183" t="s">
        <v>275</v>
      </c>
      <c r="D107" s="184">
        <f>1514562+1875</f>
        <v>1516437</v>
      </c>
      <c r="E107" s="184">
        <f>1514562+1875</f>
        <v>1516437</v>
      </c>
      <c r="F107" s="184">
        <f>1514562+1875</f>
        <v>1516437</v>
      </c>
    </row>
    <row r="108" spans="1:6" ht="25.5">
      <c r="A108" s="199" t="s">
        <v>559</v>
      </c>
      <c r="B108" s="229" t="s">
        <v>560</v>
      </c>
      <c r="C108" s="183"/>
      <c r="D108" s="254">
        <f>D115+D118+D120+D122+D124+D127+D131+D109+D113+D111</f>
        <v>386566834</v>
      </c>
      <c r="E108" s="254">
        <f>E115+E118+E120+E122+E124+E127+E131+E109+E113+E111</f>
        <v>501287103</v>
      </c>
      <c r="F108" s="254">
        <f>F115+F118+F120+F122+F124+F127+F131+F109+F113+F111</f>
        <v>529775582</v>
      </c>
    </row>
    <row r="109" spans="1:6" ht="25.5">
      <c r="A109" s="200" t="s">
        <v>561</v>
      </c>
      <c r="B109" s="182" t="s">
        <v>562</v>
      </c>
      <c r="C109" s="183"/>
      <c r="D109" s="184">
        <f>D110</f>
        <v>8350726</v>
      </c>
      <c r="E109" s="184">
        <f>E110</f>
        <v>7927843</v>
      </c>
      <c r="F109" s="184">
        <f>F110</f>
        <v>7708038</v>
      </c>
    </row>
    <row r="110" spans="1:6" ht="15">
      <c r="A110" s="189" t="s">
        <v>206</v>
      </c>
      <c r="B110" s="182" t="s">
        <v>562</v>
      </c>
      <c r="C110" s="183" t="s">
        <v>207</v>
      </c>
      <c r="D110" s="184">
        <f>7265132+1085594</f>
        <v>8350726</v>
      </c>
      <c r="E110" s="184">
        <f>6897223+1030620</f>
        <v>7927843</v>
      </c>
      <c r="F110" s="184">
        <f>6705993+1002045</f>
        <v>7708038</v>
      </c>
    </row>
    <row r="111" spans="1:6" ht="15">
      <c r="A111" s="192" t="s">
        <v>563</v>
      </c>
      <c r="B111" s="182" t="s">
        <v>564</v>
      </c>
      <c r="C111" s="183"/>
      <c r="D111" s="184">
        <f>D112</f>
        <v>0</v>
      </c>
      <c r="E111" s="184">
        <f>E112</f>
        <v>130086794</v>
      </c>
      <c r="F111" s="184">
        <f>F112</f>
        <v>174748342</v>
      </c>
    </row>
    <row r="112" spans="1:6" ht="15">
      <c r="A112" s="192" t="s">
        <v>206</v>
      </c>
      <c r="B112" s="182" t="s">
        <v>564</v>
      </c>
      <c r="C112" s="183" t="s">
        <v>207</v>
      </c>
      <c r="D112" s="184">
        <v>0</v>
      </c>
      <c r="E112" s="184">
        <v>130086794</v>
      </c>
      <c r="F112" s="184">
        <v>174748342</v>
      </c>
    </row>
    <row r="113" spans="1:6" ht="71.25" customHeight="1">
      <c r="A113" s="199" t="s">
        <v>565</v>
      </c>
      <c r="B113" s="182" t="s">
        <v>566</v>
      </c>
      <c r="C113" s="183"/>
      <c r="D113" s="184">
        <f>D114</f>
        <v>16327080</v>
      </c>
      <c r="E113" s="184">
        <f>E114</f>
        <v>16327080</v>
      </c>
      <c r="F113" s="184">
        <f>F114</f>
        <v>16327080</v>
      </c>
    </row>
    <row r="114" spans="1:6" ht="39">
      <c r="A114" s="189" t="s">
        <v>194</v>
      </c>
      <c r="B114" s="182" t="s">
        <v>566</v>
      </c>
      <c r="C114" s="183" t="s">
        <v>195</v>
      </c>
      <c r="D114" s="184">
        <v>16327080</v>
      </c>
      <c r="E114" s="184">
        <v>16327080</v>
      </c>
      <c r="F114" s="184">
        <v>16327080</v>
      </c>
    </row>
    <row r="115" spans="1:6" ht="66.75" customHeight="1">
      <c r="A115" s="274" t="s">
        <v>571</v>
      </c>
      <c r="B115" s="182" t="s">
        <v>572</v>
      </c>
      <c r="C115" s="183"/>
      <c r="D115" s="254">
        <f>D116+D117</f>
        <v>323005174</v>
      </c>
      <c r="E115" s="254">
        <f>E116+E117</f>
        <v>308061532</v>
      </c>
      <c r="F115" s="254">
        <f>F116+F117</f>
        <v>292108268</v>
      </c>
    </row>
    <row r="116" spans="1:6" ht="45" customHeight="1">
      <c r="A116" s="189" t="s">
        <v>194</v>
      </c>
      <c r="B116" s="182" t="s">
        <v>572</v>
      </c>
      <c r="C116" s="183" t="s">
        <v>195</v>
      </c>
      <c r="D116" s="184">
        <f>286891189+29621689</f>
        <v>316512878</v>
      </c>
      <c r="E116" s="184">
        <f>271947547+29621689</f>
        <v>301569236</v>
      </c>
      <c r="F116" s="184">
        <f>255994283+29621689</f>
        <v>285615972</v>
      </c>
    </row>
    <row r="117" spans="1:6" ht="22.5" customHeight="1">
      <c r="A117" s="189" t="s">
        <v>206</v>
      </c>
      <c r="B117" s="182" t="s">
        <v>572</v>
      </c>
      <c r="C117" s="183" t="s">
        <v>207</v>
      </c>
      <c r="D117" s="184">
        <v>6492296</v>
      </c>
      <c r="E117" s="184">
        <v>6492296</v>
      </c>
      <c r="F117" s="184">
        <v>6492296</v>
      </c>
    </row>
    <row r="118" spans="1:6" ht="25.5">
      <c r="A118" s="200" t="s">
        <v>575</v>
      </c>
      <c r="B118" s="182" t="s">
        <v>576</v>
      </c>
      <c r="C118" s="183"/>
      <c r="D118" s="254">
        <f>D119</f>
        <v>805802</v>
      </c>
      <c r="E118" s="254">
        <f>E119</f>
        <v>805802</v>
      </c>
      <c r="F118" s="254">
        <f>F119</f>
        <v>805802</v>
      </c>
    </row>
    <row r="119" spans="1:6" ht="15">
      <c r="A119" s="189" t="s">
        <v>206</v>
      </c>
      <c r="B119" s="182" t="s">
        <v>576</v>
      </c>
      <c r="C119" s="183" t="s">
        <v>207</v>
      </c>
      <c r="D119" s="184">
        <v>805802</v>
      </c>
      <c r="E119" s="184">
        <v>805802</v>
      </c>
      <c r="F119" s="184">
        <v>805802</v>
      </c>
    </row>
    <row r="120" spans="1:6" ht="38.25">
      <c r="A120" s="200" t="s">
        <v>577</v>
      </c>
      <c r="B120" s="182" t="s">
        <v>578</v>
      </c>
      <c r="C120" s="183"/>
      <c r="D120" s="254">
        <f>D121</f>
        <v>1977583</v>
      </c>
      <c r="E120" s="254">
        <f>E121</f>
        <v>1977583</v>
      </c>
      <c r="F120" s="254">
        <f>F121</f>
        <v>1977583</v>
      </c>
    </row>
    <row r="121" spans="1:6" ht="25.5" customHeight="1">
      <c r="A121" s="189" t="s">
        <v>206</v>
      </c>
      <c r="B121" s="182" t="s">
        <v>578</v>
      </c>
      <c r="C121" s="183" t="s">
        <v>207</v>
      </c>
      <c r="D121" s="184">
        <f>1977583</f>
        <v>1977583</v>
      </c>
      <c r="E121" s="184">
        <f>1977583</f>
        <v>1977583</v>
      </c>
      <c r="F121" s="184">
        <f>1977583</f>
        <v>1977583</v>
      </c>
    </row>
    <row r="122" spans="1:6" ht="39">
      <c r="A122" s="274" t="s">
        <v>579</v>
      </c>
      <c r="B122" s="182" t="s">
        <v>580</v>
      </c>
      <c r="C122" s="183"/>
      <c r="D122" s="254">
        <f>D123</f>
        <v>656772</v>
      </c>
      <c r="E122" s="254">
        <f>E123</f>
        <v>656772</v>
      </c>
      <c r="F122" s="254">
        <f>F123</f>
        <v>656772</v>
      </c>
    </row>
    <row r="123" spans="1:6" ht="15">
      <c r="A123" s="189" t="s">
        <v>206</v>
      </c>
      <c r="B123" s="182" t="s">
        <v>580</v>
      </c>
      <c r="C123" s="183" t="s">
        <v>207</v>
      </c>
      <c r="D123" s="184">
        <v>656772</v>
      </c>
      <c r="E123" s="184">
        <v>656772</v>
      </c>
      <c r="F123" s="184">
        <v>656772</v>
      </c>
    </row>
    <row r="124" spans="1:6" ht="39">
      <c r="A124" s="274" t="s">
        <v>829</v>
      </c>
      <c r="B124" s="182" t="s">
        <v>582</v>
      </c>
      <c r="C124" s="183"/>
      <c r="D124" s="254">
        <f>D125+D126</f>
        <v>6438756</v>
      </c>
      <c r="E124" s="254">
        <f>E125+E126</f>
        <v>6438756</v>
      </c>
      <c r="F124" s="254">
        <f>F125+F126</f>
        <v>6438756</v>
      </c>
    </row>
    <row r="125" spans="1:6" ht="24" customHeight="1">
      <c r="A125" s="189" t="s">
        <v>206</v>
      </c>
      <c r="B125" s="182" t="s">
        <v>582</v>
      </c>
      <c r="C125" s="183" t="s">
        <v>207</v>
      </c>
      <c r="D125" s="184">
        <f>6438756</f>
        <v>6438756</v>
      </c>
      <c r="E125" s="184">
        <f>6438756</f>
        <v>6438756</v>
      </c>
      <c r="F125" s="184">
        <f>6438756</f>
        <v>6438756</v>
      </c>
    </row>
    <row r="126" spans="1:6" ht="12.75" customHeight="1" hidden="1">
      <c r="A126" s="223" t="s">
        <v>244</v>
      </c>
      <c r="B126" s="182" t="s">
        <v>582</v>
      </c>
      <c r="C126" s="183" t="s">
        <v>245</v>
      </c>
      <c r="D126" s="184"/>
      <c r="E126" s="184"/>
      <c r="F126" s="184"/>
    </row>
    <row r="127" spans="1:6" ht="17.25" customHeight="1">
      <c r="A127" s="199" t="s">
        <v>366</v>
      </c>
      <c r="B127" s="182" t="s">
        <v>583</v>
      </c>
      <c r="C127" s="183"/>
      <c r="D127" s="254">
        <f>D128+D130+D129</f>
        <v>28904941</v>
      </c>
      <c r="E127" s="254">
        <f>E128+E130+E129</f>
        <v>28904941</v>
      </c>
      <c r="F127" s="254">
        <f>F128+F130+F129</f>
        <v>28904941</v>
      </c>
    </row>
    <row r="128" spans="1:6" ht="32.25" customHeight="1">
      <c r="A128" s="189" t="s">
        <v>206</v>
      </c>
      <c r="B128" s="182" t="s">
        <v>583</v>
      </c>
      <c r="C128" s="183" t="s">
        <v>207</v>
      </c>
      <c r="D128" s="184">
        <v>26504900</v>
      </c>
      <c r="E128" s="184">
        <v>26504900</v>
      </c>
      <c r="F128" s="184">
        <v>26504900</v>
      </c>
    </row>
    <row r="129" spans="1:6" ht="0.75" customHeight="1" hidden="1">
      <c r="A129" s="187" t="s">
        <v>429</v>
      </c>
      <c r="B129" s="182" t="s">
        <v>583</v>
      </c>
      <c r="C129" s="183" t="s">
        <v>430</v>
      </c>
      <c r="D129" s="184"/>
      <c r="E129" s="184"/>
      <c r="F129" s="184"/>
    </row>
    <row r="130" spans="1:6" ht="18.75" customHeight="1">
      <c r="A130" s="199" t="s">
        <v>274</v>
      </c>
      <c r="B130" s="182" t="s">
        <v>583</v>
      </c>
      <c r="C130" s="183" t="s">
        <v>275</v>
      </c>
      <c r="D130" s="184">
        <f>2293696+106345</f>
        <v>2400041</v>
      </c>
      <c r="E130" s="184">
        <f>2293696+106345</f>
        <v>2400041</v>
      </c>
      <c r="F130" s="184">
        <f>2293696+106345</f>
        <v>2400041</v>
      </c>
    </row>
    <row r="131" spans="1:6" ht="21" customHeight="1">
      <c r="A131" s="192" t="s">
        <v>584</v>
      </c>
      <c r="B131" s="182" t="s">
        <v>585</v>
      </c>
      <c r="C131" s="183"/>
      <c r="D131" s="184">
        <f>D132</f>
        <v>100000</v>
      </c>
      <c r="E131" s="184">
        <f>E132</f>
        <v>100000</v>
      </c>
      <c r="F131" s="184">
        <f>F132</f>
        <v>100000</v>
      </c>
    </row>
    <row r="132" spans="1:6" ht="24" customHeight="1">
      <c r="A132" s="223" t="s">
        <v>244</v>
      </c>
      <c r="B132" s="182" t="s">
        <v>585</v>
      </c>
      <c r="C132" s="183" t="s">
        <v>245</v>
      </c>
      <c r="D132" s="184">
        <v>100000</v>
      </c>
      <c r="E132" s="184">
        <v>100000</v>
      </c>
      <c r="F132" s="184">
        <v>100000</v>
      </c>
    </row>
    <row r="133" spans="1:6" ht="33" customHeight="1">
      <c r="A133" s="199" t="s">
        <v>540</v>
      </c>
      <c r="B133" s="182" t="s">
        <v>541</v>
      </c>
      <c r="C133" s="183"/>
      <c r="D133" s="254">
        <f>D134+D137+D139+D141</f>
        <v>25429131</v>
      </c>
      <c r="E133" s="254">
        <f>E134+E137+E139+E141</f>
        <v>15268150</v>
      </c>
      <c r="F133" s="254">
        <f>F134+F137+F139+F141</f>
        <v>15268150</v>
      </c>
    </row>
    <row r="134" spans="1:6" ht="49.5" customHeight="1">
      <c r="A134" s="199" t="s">
        <v>542</v>
      </c>
      <c r="B134" s="182" t="s">
        <v>543</v>
      </c>
      <c r="C134" s="183"/>
      <c r="D134" s="254">
        <f>D135+D136</f>
        <v>24984835</v>
      </c>
      <c r="E134" s="254">
        <f>E135+E136</f>
        <v>14840623</v>
      </c>
      <c r="F134" s="254">
        <f>F135+F136</f>
        <v>14840623</v>
      </c>
    </row>
    <row r="135" spans="1:6" ht="46.5" customHeight="1">
      <c r="A135" s="199" t="s">
        <v>194</v>
      </c>
      <c r="B135" s="182" t="s">
        <v>543</v>
      </c>
      <c r="C135" s="183" t="s">
        <v>195</v>
      </c>
      <c r="D135" s="184">
        <f>3824023+13708812</f>
        <v>17532835</v>
      </c>
      <c r="E135" s="184">
        <f>2327271+8084992</f>
        <v>10412263</v>
      </c>
      <c r="F135" s="184">
        <f>2327271+8084992</f>
        <v>10412263</v>
      </c>
    </row>
    <row r="136" spans="1:6" ht="18" customHeight="1">
      <c r="A136" s="199" t="s">
        <v>244</v>
      </c>
      <c r="B136" s="182" t="s">
        <v>543</v>
      </c>
      <c r="C136" s="183" t="s">
        <v>245</v>
      </c>
      <c r="D136" s="184">
        <f>1584000+5868000</f>
        <v>7452000</v>
      </c>
      <c r="E136" s="184">
        <f>966240+3462120</f>
        <v>4428360</v>
      </c>
      <c r="F136" s="184">
        <f>966240+3462120</f>
        <v>4428360</v>
      </c>
    </row>
    <row r="137" spans="1:6" ht="72.75" customHeight="1">
      <c r="A137" s="199" t="s">
        <v>586</v>
      </c>
      <c r="B137" s="182" t="s">
        <v>587</v>
      </c>
      <c r="C137" s="183"/>
      <c r="D137" s="184">
        <f>D138</f>
        <v>226766</v>
      </c>
      <c r="E137" s="184">
        <f>E138</f>
        <v>209997</v>
      </c>
      <c r="F137" s="184">
        <f>F138</f>
        <v>209997</v>
      </c>
    </row>
    <row r="138" spans="1:6" ht="30" customHeight="1">
      <c r="A138" s="189" t="s">
        <v>206</v>
      </c>
      <c r="B138" s="182" t="s">
        <v>587</v>
      </c>
      <c r="C138" s="183" t="s">
        <v>207</v>
      </c>
      <c r="D138" s="184">
        <v>226766</v>
      </c>
      <c r="E138" s="184">
        <v>209997</v>
      </c>
      <c r="F138" s="184">
        <v>209997</v>
      </c>
    </row>
    <row r="139" spans="1:6" ht="30" customHeight="1">
      <c r="A139" s="192" t="s">
        <v>588</v>
      </c>
      <c r="B139" s="182" t="s">
        <v>589</v>
      </c>
      <c r="C139" s="183"/>
      <c r="D139" s="184">
        <f>D140</f>
        <v>11249</v>
      </c>
      <c r="E139" s="184">
        <f>E140</f>
        <v>11249</v>
      </c>
      <c r="F139" s="184">
        <f>F140</f>
        <v>11249</v>
      </c>
    </row>
    <row r="140" spans="1:6" ht="30" customHeight="1">
      <c r="A140" s="192" t="s">
        <v>194</v>
      </c>
      <c r="B140" s="182" t="s">
        <v>589</v>
      </c>
      <c r="C140" s="183" t="s">
        <v>195</v>
      </c>
      <c r="D140" s="184">
        <v>11249</v>
      </c>
      <c r="E140" s="184">
        <v>11249</v>
      </c>
      <c r="F140" s="184">
        <v>11249</v>
      </c>
    </row>
    <row r="141" spans="1:6" ht="30" customHeight="1">
      <c r="A141" s="192" t="s">
        <v>590</v>
      </c>
      <c r="B141" s="182" t="s">
        <v>591</v>
      </c>
      <c r="C141" s="183"/>
      <c r="D141" s="184">
        <f>D142</f>
        <v>206281</v>
      </c>
      <c r="E141" s="184">
        <f>E142</f>
        <v>206281</v>
      </c>
      <c r="F141" s="184">
        <f>F142</f>
        <v>206281</v>
      </c>
    </row>
    <row r="142" spans="1:6" ht="39" customHeight="1">
      <c r="A142" s="192" t="s">
        <v>194</v>
      </c>
      <c r="B142" s="182" t="s">
        <v>591</v>
      </c>
      <c r="C142" s="183" t="s">
        <v>195</v>
      </c>
      <c r="D142" s="184">
        <f>206281</f>
        <v>206281</v>
      </c>
      <c r="E142" s="184">
        <f>206281</f>
        <v>206281</v>
      </c>
      <c r="F142" s="184">
        <f>206281</f>
        <v>206281</v>
      </c>
    </row>
    <row r="143" spans="1:6" s="198" customFormat="1" ht="47.25" customHeight="1">
      <c r="A143" s="189" t="s">
        <v>830</v>
      </c>
      <c r="B143" s="182" t="s">
        <v>610</v>
      </c>
      <c r="C143" s="183"/>
      <c r="D143" s="254">
        <f>D144+D147+D152</f>
        <v>20952407</v>
      </c>
      <c r="E143" s="254">
        <f>E144+E147+E152</f>
        <v>17216001</v>
      </c>
      <c r="F143" s="254">
        <f>F144+F147+F152</f>
        <v>17528543</v>
      </c>
    </row>
    <row r="144" spans="1:6" ht="36.75" customHeight="1">
      <c r="A144" s="199" t="s">
        <v>611</v>
      </c>
      <c r="B144" s="182" t="s">
        <v>612</v>
      </c>
      <c r="C144" s="183"/>
      <c r="D144" s="254">
        <f aca="true" t="shared" si="8" ref="D144:F145">D145</f>
        <v>19800360</v>
      </c>
      <c r="E144" s="254">
        <f t="shared" si="8"/>
        <v>16551716</v>
      </c>
      <c r="F144" s="254">
        <f t="shared" si="8"/>
        <v>16864258</v>
      </c>
    </row>
    <row r="145" spans="1:6" ht="15">
      <c r="A145" s="199" t="s">
        <v>366</v>
      </c>
      <c r="B145" s="182" t="s">
        <v>613</v>
      </c>
      <c r="C145" s="183"/>
      <c r="D145" s="254">
        <f t="shared" si="8"/>
        <v>19800360</v>
      </c>
      <c r="E145" s="254">
        <f t="shared" si="8"/>
        <v>16551716</v>
      </c>
      <c r="F145" s="254">
        <f t="shared" si="8"/>
        <v>16864258</v>
      </c>
    </row>
    <row r="146" spans="1:6" ht="26.25">
      <c r="A146" s="187" t="s">
        <v>614</v>
      </c>
      <c r="B146" s="182" t="s">
        <v>613</v>
      </c>
      <c r="C146" s="183" t="s">
        <v>615</v>
      </c>
      <c r="D146" s="184">
        <f>18839660+33300+414200+82000+431200</f>
        <v>19800360</v>
      </c>
      <c r="E146" s="184">
        <v>16551716</v>
      </c>
      <c r="F146" s="184">
        <v>16864258</v>
      </c>
    </row>
    <row r="147" spans="1:6" ht="29.25" customHeight="1">
      <c r="A147" s="191" t="s">
        <v>616</v>
      </c>
      <c r="B147" s="182" t="s">
        <v>617</v>
      </c>
      <c r="C147" s="183"/>
      <c r="D147" s="254">
        <f>D148+D150</f>
        <v>1152047</v>
      </c>
      <c r="E147" s="254">
        <f>E148+E150</f>
        <v>664285</v>
      </c>
      <c r="F147" s="254">
        <f>F148+F150</f>
        <v>664285</v>
      </c>
    </row>
    <row r="148" spans="1:6" ht="44.25" customHeight="1">
      <c r="A148" s="199" t="s">
        <v>542</v>
      </c>
      <c r="B148" s="182" t="s">
        <v>618</v>
      </c>
      <c r="C148" s="183"/>
      <c r="D148" s="184">
        <f>D149</f>
        <v>1038665</v>
      </c>
      <c r="E148" s="184">
        <f>E149</f>
        <v>559289</v>
      </c>
      <c r="F148" s="184">
        <f>F149</f>
        <v>559289</v>
      </c>
    </row>
    <row r="149" spans="1:6" ht="36.75" customHeight="1">
      <c r="A149" s="199" t="s">
        <v>614</v>
      </c>
      <c r="B149" s="182" t="s">
        <v>618</v>
      </c>
      <c r="C149" s="183" t="s">
        <v>615</v>
      </c>
      <c r="D149" s="184">
        <v>1038665</v>
      </c>
      <c r="E149" s="184">
        <v>559289</v>
      </c>
      <c r="F149" s="184">
        <v>559289</v>
      </c>
    </row>
    <row r="150" spans="1:6" ht="69.75" customHeight="1">
      <c r="A150" s="199" t="s">
        <v>586</v>
      </c>
      <c r="B150" s="182" t="s">
        <v>619</v>
      </c>
      <c r="C150" s="183"/>
      <c r="D150" s="184">
        <f>D151</f>
        <v>113382</v>
      </c>
      <c r="E150" s="184">
        <f>E151</f>
        <v>104996</v>
      </c>
      <c r="F150" s="184">
        <f>F151</f>
        <v>104996</v>
      </c>
    </row>
    <row r="151" spans="1:6" ht="34.5" customHeight="1">
      <c r="A151" s="199" t="s">
        <v>614</v>
      </c>
      <c r="B151" s="182" t="s">
        <v>619</v>
      </c>
      <c r="C151" s="183" t="s">
        <v>615</v>
      </c>
      <c r="D151" s="184">
        <v>113382</v>
      </c>
      <c r="E151" s="184">
        <v>104996</v>
      </c>
      <c r="F151" s="184">
        <v>104996</v>
      </c>
    </row>
    <row r="152" spans="1:6" ht="34.5" customHeight="1" hidden="1">
      <c r="A152" s="199" t="s">
        <v>781</v>
      </c>
      <c r="B152" s="182" t="s">
        <v>782</v>
      </c>
      <c r="C152" s="183"/>
      <c r="D152" s="184">
        <f>D153</f>
        <v>0</v>
      </c>
      <c r="E152" s="184">
        <f>E153</f>
        <v>0</v>
      </c>
      <c r="F152" s="184">
        <f>F153</f>
        <v>0</v>
      </c>
    </row>
    <row r="153" spans="1:6" ht="18" customHeight="1" hidden="1">
      <c r="A153" s="199" t="s">
        <v>366</v>
      </c>
      <c r="B153" s="182" t="s">
        <v>783</v>
      </c>
      <c r="C153" s="183"/>
      <c r="D153" s="184">
        <f>D154+D155</f>
        <v>0</v>
      </c>
      <c r="E153" s="184">
        <f>E154+E155</f>
        <v>0</v>
      </c>
      <c r="F153" s="184">
        <f>F154+F155</f>
        <v>0</v>
      </c>
    </row>
    <row r="154" spans="1:6" ht="35.25" customHeight="1" hidden="1">
      <c r="A154" s="187" t="s">
        <v>614</v>
      </c>
      <c r="B154" s="182" t="s">
        <v>783</v>
      </c>
      <c r="C154" s="183" t="s">
        <v>615</v>
      </c>
      <c r="D154" s="184"/>
      <c r="E154" s="184"/>
      <c r="F154" s="184"/>
    </row>
    <row r="155" spans="1:6" ht="19.5" customHeight="1" hidden="1">
      <c r="A155" s="192" t="s">
        <v>274</v>
      </c>
      <c r="B155" s="182" t="s">
        <v>783</v>
      </c>
      <c r="C155" s="183" t="s">
        <v>275</v>
      </c>
      <c r="D155" s="184"/>
      <c r="E155" s="184"/>
      <c r="F155" s="184"/>
    </row>
    <row r="156" spans="1:6" s="198" customFormat="1" ht="43.5" customHeight="1">
      <c r="A156" s="277" t="s">
        <v>303</v>
      </c>
      <c r="B156" s="182" t="s">
        <v>304</v>
      </c>
      <c r="C156" s="183"/>
      <c r="D156" s="254">
        <f>D157+D162</f>
        <v>5550637</v>
      </c>
      <c r="E156" s="254">
        <f>E157+E162</f>
        <v>4806648</v>
      </c>
      <c r="F156" s="254">
        <f>F157+F162</f>
        <v>4878225</v>
      </c>
    </row>
    <row r="157" spans="1:6" ht="32.25" customHeight="1">
      <c r="A157" s="199" t="s">
        <v>630</v>
      </c>
      <c r="B157" s="182" t="s">
        <v>631</v>
      </c>
      <c r="C157" s="183"/>
      <c r="D157" s="254">
        <f>D158</f>
        <v>5355693</v>
      </c>
      <c r="E157" s="254">
        <f>E158</f>
        <v>4611704</v>
      </c>
      <c r="F157" s="254">
        <f>F158</f>
        <v>4683281</v>
      </c>
    </row>
    <row r="158" spans="1:6" ht="18.75" customHeight="1">
      <c r="A158" s="199" t="s">
        <v>366</v>
      </c>
      <c r="B158" s="182" t="s">
        <v>632</v>
      </c>
      <c r="C158" s="183"/>
      <c r="D158" s="254">
        <f>D159+D160+D161</f>
        <v>5355693</v>
      </c>
      <c r="E158" s="254">
        <f>E159+E160+E161</f>
        <v>4611704</v>
      </c>
      <c r="F158" s="254">
        <f>F159+F160+F161</f>
        <v>4683281</v>
      </c>
    </row>
    <row r="159" spans="1:6" ht="42" customHeight="1">
      <c r="A159" s="189" t="s">
        <v>194</v>
      </c>
      <c r="B159" s="182" t="s">
        <v>632</v>
      </c>
      <c r="C159" s="183" t="s">
        <v>195</v>
      </c>
      <c r="D159" s="184">
        <v>4314571</v>
      </c>
      <c r="E159" s="184">
        <v>3570582</v>
      </c>
      <c r="F159" s="184">
        <v>3642159</v>
      </c>
    </row>
    <row r="160" spans="1:6" ht="27.75" customHeight="1">
      <c r="A160" s="189" t="s">
        <v>206</v>
      </c>
      <c r="B160" s="182" t="s">
        <v>632</v>
      </c>
      <c r="C160" s="183" t="s">
        <v>207</v>
      </c>
      <c r="D160" s="184">
        <f>2470+155180+870950</f>
        <v>1028600</v>
      </c>
      <c r="E160" s="184">
        <f>2470+155180+870950</f>
        <v>1028600</v>
      </c>
      <c r="F160" s="184">
        <f>2470+155180+870950</f>
        <v>1028600</v>
      </c>
    </row>
    <row r="161" spans="1:6" ht="15">
      <c r="A161" s="199" t="s">
        <v>274</v>
      </c>
      <c r="B161" s="182" t="s">
        <v>632</v>
      </c>
      <c r="C161" s="183" t="s">
        <v>275</v>
      </c>
      <c r="D161" s="184">
        <f>4124+8398</f>
        <v>12522</v>
      </c>
      <c r="E161" s="184">
        <f>4124+8398</f>
        <v>12522</v>
      </c>
      <c r="F161" s="184">
        <f>4124+8398</f>
        <v>12522</v>
      </c>
    </row>
    <row r="162" spans="1:6" ht="25.5">
      <c r="A162" s="212" t="s">
        <v>305</v>
      </c>
      <c r="B162" s="182" t="s">
        <v>306</v>
      </c>
      <c r="C162" s="183"/>
      <c r="D162" s="254">
        <f aca="true" t="shared" si="9" ref="D162:F163">D163</f>
        <v>194944</v>
      </c>
      <c r="E162" s="254">
        <f t="shared" si="9"/>
        <v>194944</v>
      </c>
      <c r="F162" s="254">
        <f t="shared" si="9"/>
        <v>194944</v>
      </c>
    </row>
    <row r="163" spans="1:6" ht="26.25">
      <c r="A163" s="278" t="s">
        <v>307</v>
      </c>
      <c r="B163" s="182" t="s">
        <v>308</v>
      </c>
      <c r="C163" s="183"/>
      <c r="D163" s="254">
        <f t="shared" si="9"/>
        <v>194944</v>
      </c>
      <c r="E163" s="254">
        <f t="shared" si="9"/>
        <v>194944</v>
      </c>
      <c r="F163" s="254">
        <f t="shared" si="9"/>
        <v>194944</v>
      </c>
    </row>
    <row r="164" spans="1:6" ht="38.25" customHeight="1">
      <c r="A164" s="279" t="s">
        <v>194</v>
      </c>
      <c r="B164" s="182" t="s">
        <v>308</v>
      </c>
      <c r="C164" s="183" t="s">
        <v>195</v>
      </c>
      <c r="D164" s="184">
        <v>194944</v>
      </c>
      <c r="E164" s="184">
        <v>194944</v>
      </c>
      <c r="F164" s="184">
        <v>194944</v>
      </c>
    </row>
    <row r="165" spans="1:6" ht="39">
      <c r="A165" s="181" t="s">
        <v>831</v>
      </c>
      <c r="B165" s="182" t="s">
        <v>593</v>
      </c>
      <c r="C165" s="183"/>
      <c r="D165" s="184">
        <f>D166</f>
        <v>6120000</v>
      </c>
      <c r="E165" s="184">
        <f aca="true" t="shared" si="10" ref="E165:F167">E166</f>
        <v>0</v>
      </c>
      <c r="F165" s="184">
        <f t="shared" si="10"/>
        <v>0</v>
      </c>
    </row>
    <row r="166" spans="1:6" ht="38.25">
      <c r="A166" s="199" t="s">
        <v>832</v>
      </c>
      <c r="B166" s="182" t="s">
        <v>595</v>
      </c>
      <c r="C166" s="183"/>
      <c r="D166" s="184">
        <f>D167</f>
        <v>6120000</v>
      </c>
      <c r="E166" s="184">
        <f t="shared" si="10"/>
        <v>0</v>
      </c>
      <c r="F166" s="184">
        <f t="shared" si="10"/>
        <v>0</v>
      </c>
    </row>
    <row r="167" spans="1:6" ht="15">
      <c r="A167" s="199" t="s">
        <v>366</v>
      </c>
      <c r="B167" s="182" t="s">
        <v>596</v>
      </c>
      <c r="C167" s="183"/>
      <c r="D167" s="184">
        <f>D168</f>
        <v>6120000</v>
      </c>
      <c r="E167" s="184">
        <f t="shared" si="10"/>
        <v>0</v>
      </c>
      <c r="F167" s="184">
        <f t="shared" si="10"/>
        <v>0</v>
      </c>
    </row>
    <row r="168" spans="1:6" ht="15">
      <c r="A168" s="192" t="s">
        <v>429</v>
      </c>
      <c r="B168" s="182" t="s">
        <v>596</v>
      </c>
      <c r="C168" s="183" t="s">
        <v>430</v>
      </c>
      <c r="D168" s="184">
        <v>6120000</v>
      </c>
      <c r="E168" s="184">
        <v>0</v>
      </c>
      <c r="F168" s="184">
        <v>0</v>
      </c>
    </row>
    <row r="169" spans="1:10" ht="43.5" customHeight="1">
      <c r="A169" s="277" t="s">
        <v>442</v>
      </c>
      <c r="B169" s="182" t="s">
        <v>443</v>
      </c>
      <c r="C169" s="183"/>
      <c r="D169" s="254">
        <f aca="true" t="shared" si="11" ref="D169:F170">D170</f>
        <v>200000</v>
      </c>
      <c r="E169" s="254">
        <f t="shared" si="11"/>
        <v>200000</v>
      </c>
      <c r="F169" s="254">
        <f t="shared" si="11"/>
        <v>200000</v>
      </c>
      <c r="H169" s="194"/>
      <c r="I169" s="194"/>
      <c r="J169" s="194"/>
    </row>
    <row r="170" spans="1:6" s="198" customFormat="1" ht="54" customHeight="1">
      <c r="A170" s="280" t="s">
        <v>444</v>
      </c>
      <c r="B170" s="182" t="s">
        <v>445</v>
      </c>
      <c r="C170" s="183"/>
      <c r="D170" s="254">
        <f t="shared" si="11"/>
        <v>200000</v>
      </c>
      <c r="E170" s="254">
        <f t="shared" si="11"/>
        <v>200000</v>
      </c>
      <c r="F170" s="254">
        <f t="shared" si="11"/>
        <v>200000</v>
      </c>
    </row>
    <row r="171" spans="1:6" s="198" customFormat="1" ht="36.75" customHeight="1">
      <c r="A171" s="199" t="s">
        <v>446</v>
      </c>
      <c r="B171" s="182" t="s">
        <v>447</v>
      </c>
      <c r="C171" s="183"/>
      <c r="D171" s="184">
        <f>D172+D174</f>
        <v>200000</v>
      </c>
      <c r="E171" s="184">
        <f>E172+E174</f>
        <v>200000</v>
      </c>
      <c r="F171" s="184">
        <f>F172+F174</f>
        <v>200000</v>
      </c>
    </row>
    <row r="172" spans="1:6" ht="15" hidden="1">
      <c r="A172" s="188" t="s">
        <v>448</v>
      </c>
      <c r="B172" s="182" t="s">
        <v>449</v>
      </c>
      <c r="C172" s="183"/>
      <c r="D172" s="184">
        <f>D173</f>
        <v>0</v>
      </c>
      <c r="E172" s="184">
        <f>E173</f>
        <v>0</v>
      </c>
      <c r="F172" s="184">
        <f>F173</f>
        <v>0</v>
      </c>
    </row>
    <row r="173" spans="1:6" ht="12.75" customHeight="1" hidden="1">
      <c r="A173" s="189" t="s">
        <v>206</v>
      </c>
      <c r="B173" s="182" t="s">
        <v>449</v>
      </c>
      <c r="C173" s="183" t="s">
        <v>207</v>
      </c>
      <c r="D173" s="184"/>
      <c r="E173" s="184"/>
      <c r="F173" s="184"/>
    </row>
    <row r="174" spans="1:6" ht="18.75" customHeight="1">
      <c r="A174" s="188" t="s">
        <v>450</v>
      </c>
      <c r="B174" s="182" t="s">
        <v>451</v>
      </c>
      <c r="C174" s="183"/>
      <c r="D174" s="184">
        <f>D175</f>
        <v>200000</v>
      </c>
      <c r="E174" s="184">
        <f>E175</f>
        <v>200000</v>
      </c>
      <c r="F174" s="184">
        <f>F175</f>
        <v>200000</v>
      </c>
    </row>
    <row r="175" spans="1:6" ht="21.75" customHeight="1">
      <c r="A175" s="189" t="s">
        <v>206</v>
      </c>
      <c r="B175" s="182" t="s">
        <v>451</v>
      </c>
      <c r="C175" s="183" t="s">
        <v>207</v>
      </c>
      <c r="D175" s="184">
        <v>200000</v>
      </c>
      <c r="E175" s="184">
        <v>200000</v>
      </c>
      <c r="F175" s="184">
        <v>200000</v>
      </c>
    </row>
    <row r="176" spans="1:10" ht="44.25" customHeight="1">
      <c r="A176" s="281" t="s">
        <v>771</v>
      </c>
      <c r="B176" s="207" t="s">
        <v>310</v>
      </c>
      <c r="C176" s="183"/>
      <c r="D176" s="184">
        <f>D177</f>
        <v>30000</v>
      </c>
      <c r="E176" s="184">
        <f aca="true" t="shared" si="12" ref="E176:F179">E177</f>
        <v>30000</v>
      </c>
      <c r="F176" s="184">
        <f t="shared" si="12"/>
        <v>30000</v>
      </c>
      <c r="H176" s="194"/>
      <c r="I176" s="194"/>
      <c r="J176" s="194"/>
    </row>
    <row r="177" spans="1:6" s="198" customFormat="1" ht="60" customHeight="1">
      <c r="A177" s="282" t="s">
        <v>772</v>
      </c>
      <c r="B177" s="207" t="s">
        <v>773</v>
      </c>
      <c r="C177" s="183"/>
      <c r="D177" s="184">
        <f>D178</f>
        <v>30000</v>
      </c>
      <c r="E177" s="184">
        <f t="shared" si="12"/>
        <v>30000</v>
      </c>
      <c r="F177" s="184">
        <f t="shared" si="12"/>
        <v>30000</v>
      </c>
    </row>
    <row r="178" spans="1:6" s="198" customFormat="1" ht="15">
      <c r="A178" s="199" t="s">
        <v>313</v>
      </c>
      <c r="B178" s="204" t="s">
        <v>314</v>
      </c>
      <c r="C178" s="183"/>
      <c r="D178" s="184">
        <f>D179</f>
        <v>30000</v>
      </c>
      <c r="E178" s="184">
        <f t="shared" si="12"/>
        <v>30000</v>
      </c>
      <c r="F178" s="184">
        <f t="shared" si="12"/>
        <v>30000</v>
      </c>
    </row>
    <row r="179" spans="1:6" ht="15">
      <c r="A179" s="200" t="s">
        <v>315</v>
      </c>
      <c r="B179" s="204" t="s">
        <v>316</v>
      </c>
      <c r="C179" s="183"/>
      <c r="D179" s="184">
        <f>D180</f>
        <v>30000</v>
      </c>
      <c r="E179" s="184">
        <f t="shared" si="12"/>
        <v>30000</v>
      </c>
      <c r="F179" s="184">
        <f t="shared" si="12"/>
        <v>30000</v>
      </c>
    </row>
    <row r="180" spans="1:6" ht="19.5" customHeight="1">
      <c r="A180" s="189" t="s">
        <v>206</v>
      </c>
      <c r="B180" s="204" t="s">
        <v>316</v>
      </c>
      <c r="C180" s="183" t="s">
        <v>207</v>
      </c>
      <c r="D180" s="184">
        <f>30000</f>
        <v>30000</v>
      </c>
      <c r="E180" s="184">
        <f>30000</f>
        <v>30000</v>
      </c>
      <c r="F180" s="184">
        <f>30000</f>
        <v>30000</v>
      </c>
    </row>
    <row r="181" spans="1:6" ht="39">
      <c r="A181" s="181" t="s">
        <v>491</v>
      </c>
      <c r="B181" s="204" t="s">
        <v>492</v>
      </c>
      <c r="C181" s="193"/>
      <c r="D181" s="254">
        <f>D182</f>
        <v>57642</v>
      </c>
      <c r="E181" s="254">
        <f>E182</f>
        <v>57642</v>
      </c>
      <c r="F181" s="254">
        <f>F182</f>
        <v>57642</v>
      </c>
    </row>
    <row r="182" spans="1:6" s="198" customFormat="1" ht="38.25" customHeight="1">
      <c r="A182" s="181" t="s">
        <v>493</v>
      </c>
      <c r="B182" s="207" t="s">
        <v>833</v>
      </c>
      <c r="C182" s="193"/>
      <c r="D182" s="254">
        <f>D183+D193</f>
        <v>57642</v>
      </c>
      <c r="E182" s="254">
        <f>E183+E193</f>
        <v>57642</v>
      </c>
      <c r="F182" s="254">
        <f>F183+F193</f>
        <v>57642</v>
      </c>
    </row>
    <row r="183" spans="1:6" ht="15" hidden="1">
      <c r="A183" s="199" t="s">
        <v>495</v>
      </c>
      <c r="B183" s="207" t="s">
        <v>834</v>
      </c>
      <c r="C183" s="193"/>
      <c r="D183" s="254">
        <f>D184+D187+D190</f>
        <v>0</v>
      </c>
      <c r="E183" s="254">
        <f>E184+E187+E190</f>
        <v>0</v>
      </c>
      <c r="F183" s="254">
        <f>F184+F187+F190</f>
        <v>0</v>
      </c>
    </row>
    <row r="184" spans="1:6" ht="38.25" hidden="1">
      <c r="A184" s="196" t="s">
        <v>497</v>
      </c>
      <c r="B184" s="207" t="s">
        <v>498</v>
      </c>
      <c r="C184" s="193"/>
      <c r="D184" s="254">
        <f>D185+D186</f>
        <v>0</v>
      </c>
      <c r="E184" s="254">
        <f>E185+E186</f>
        <v>0</v>
      </c>
      <c r="F184" s="254">
        <f>F185+F186</f>
        <v>0</v>
      </c>
    </row>
    <row r="185" spans="1:6" ht="15" hidden="1">
      <c r="A185" s="282" t="s">
        <v>429</v>
      </c>
      <c r="B185" s="207" t="s">
        <v>498</v>
      </c>
      <c r="C185" s="193" t="s">
        <v>430</v>
      </c>
      <c r="D185" s="254"/>
      <c r="E185" s="254"/>
      <c r="F185" s="254"/>
    </row>
    <row r="186" spans="1:6" ht="15" hidden="1">
      <c r="A186" s="282" t="s">
        <v>835</v>
      </c>
      <c r="B186" s="207" t="s">
        <v>498</v>
      </c>
      <c r="C186" s="193" t="s">
        <v>508</v>
      </c>
      <c r="D186" s="254"/>
      <c r="E186" s="254"/>
      <c r="F186" s="254"/>
    </row>
    <row r="187" spans="1:6" ht="25.5" hidden="1">
      <c r="A187" s="196" t="s">
        <v>499</v>
      </c>
      <c r="B187" s="207" t="s">
        <v>500</v>
      </c>
      <c r="C187" s="193"/>
      <c r="D187" s="254">
        <f>D188+D189</f>
        <v>0</v>
      </c>
      <c r="E187" s="254">
        <f>E188+E189</f>
        <v>0</v>
      </c>
      <c r="F187" s="254">
        <f>F188+F189</f>
        <v>0</v>
      </c>
    </row>
    <row r="188" spans="1:6" ht="15" hidden="1">
      <c r="A188" s="282" t="s">
        <v>429</v>
      </c>
      <c r="B188" s="207" t="s">
        <v>500</v>
      </c>
      <c r="C188" s="193" t="s">
        <v>430</v>
      </c>
      <c r="D188" s="184"/>
      <c r="E188" s="184"/>
      <c r="F188" s="184"/>
    </row>
    <row r="189" spans="1:6" ht="15" hidden="1">
      <c r="A189" s="282" t="s">
        <v>835</v>
      </c>
      <c r="B189" s="207" t="s">
        <v>500</v>
      </c>
      <c r="C189" s="193" t="s">
        <v>508</v>
      </c>
      <c r="D189" s="184"/>
      <c r="E189" s="184"/>
      <c r="F189" s="184"/>
    </row>
    <row r="190" spans="1:6" ht="25.5" hidden="1">
      <c r="A190" s="196" t="s">
        <v>836</v>
      </c>
      <c r="B190" s="207" t="s">
        <v>837</v>
      </c>
      <c r="C190" s="193"/>
      <c r="D190" s="184">
        <f>D191+D192</f>
        <v>0</v>
      </c>
      <c r="E190" s="184">
        <f>E191+E192</f>
        <v>0</v>
      </c>
      <c r="F190" s="184">
        <f>F191+F192</f>
        <v>0</v>
      </c>
    </row>
    <row r="191" spans="1:6" ht="15" hidden="1">
      <c r="A191" s="282" t="s">
        <v>429</v>
      </c>
      <c r="B191" s="207" t="s">
        <v>837</v>
      </c>
      <c r="C191" s="193" t="s">
        <v>430</v>
      </c>
      <c r="D191" s="184"/>
      <c r="E191" s="184"/>
      <c r="F191" s="184"/>
    </row>
    <row r="192" spans="1:6" ht="15" hidden="1">
      <c r="A192" s="282" t="s">
        <v>835</v>
      </c>
      <c r="B192" s="207" t="s">
        <v>837</v>
      </c>
      <c r="C192" s="193" t="s">
        <v>508</v>
      </c>
      <c r="D192" s="184"/>
      <c r="E192" s="184"/>
      <c r="F192" s="184"/>
    </row>
    <row r="193" spans="1:6" ht="15">
      <c r="A193" s="199" t="s">
        <v>838</v>
      </c>
      <c r="B193" s="207" t="s">
        <v>839</v>
      </c>
      <c r="C193" s="193"/>
      <c r="D193" s="254">
        <f aca="true" t="shared" si="13" ref="D193:F194">D194</f>
        <v>57642</v>
      </c>
      <c r="E193" s="254">
        <f t="shared" si="13"/>
        <v>57642</v>
      </c>
      <c r="F193" s="254">
        <f t="shared" si="13"/>
        <v>57642</v>
      </c>
    </row>
    <row r="194" spans="1:6" ht="15">
      <c r="A194" s="187" t="s">
        <v>525</v>
      </c>
      <c r="B194" s="207" t="s">
        <v>840</v>
      </c>
      <c r="C194" s="193"/>
      <c r="D194" s="184">
        <f t="shared" si="13"/>
        <v>57642</v>
      </c>
      <c r="E194" s="184">
        <f t="shared" si="13"/>
        <v>57642</v>
      </c>
      <c r="F194" s="184">
        <f t="shared" si="13"/>
        <v>57642</v>
      </c>
    </row>
    <row r="195" spans="1:6" ht="15">
      <c r="A195" s="189" t="s">
        <v>206</v>
      </c>
      <c r="B195" s="207" t="s">
        <v>840</v>
      </c>
      <c r="C195" s="193" t="s">
        <v>207</v>
      </c>
      <c r="D195" s="184">
        <v>57642</v>
      </c>
      <c r="E195" s="184">
        <v>57642</v>
      </c>
      <c r="F195" s="184">
        <v>57642</v>
      </c>
    </row>
    <row r="196" spans="1:10" ht="39">
      <c r="A196" s="281" t="s">
        <v>484</v>
      </c>
      <c r="B196" s="215" t="s">
        <v>456</v>
      </c>
      <c r="C196" s="183"/>
      <c r="D196" s="254">
        <f>D197</f>
        <v>1205323</v>
      </c>
      <c r="E196" s="254">
        <f>E197</f>
        <v>1371822</v>
      </c>
      <c r="F196" s="254">
        <f>F197</f>
        <v>1204332</v>
      </c>
      <c r="H196" s="194"/>
      <c r="I196" s="194"/>
      <c r="J196" s="194"/>
    </row>
    <row r="197" spans="1:6" s="198" customFormat="1" ht="51">
      <c r="A197" s="273" t="s">
        <v>841</v>
      </c>
      <c r="B197" s="215" t="s">
        <v>458</v>
      </c>
      <c r="C197" s="183"/>
      <c r="D197" s="254">
        <f>D201+D208+D211+D198</f>
        <v>1205323</v>
      </c>
      <c r="E197" s="254">
        <f>E201+E208+E211+E198</f>
        <v>1371822</v>
      </c>
      <c r="F197" s="254">
        <f>F201+F208+F211+F198</f>
        <v>1204332</v>
      </c>
    </row>
    <row r="198" spans="1:6" s="198" customFormat="1" ht="25.5">
      <c r="A198" s="199" t="s">
        <v>721</v>
      </c>
      <c r="B198" s="182" t="s">
        <v>722</v>
      </c>
      <c r="C198" s="183"/>
      <c r="D198" s="184">
        <f aca="true" t="shared" si="14" ref="D198:F199">D199</f>
        <v>0</v>
      </c>
      <c r="E198" s="184">
        <f t="shared" si="14"/>
        <v>228041</v>
      </c>
      <c r="F198" s="184">
        <f t="shared" si="14"/>
        <v>390928</v>
      </c>
    </row>
    <row r="199" spans="1:6" s="198" customFormat="1" ht="15">
      <c r="A199" s="199" t="s">
        <v>723</v>
      </c>
      <c r="B199" s="182" t="s">
        <v>724</v>
      </c>
      <c r="C199" s="183"/>
      <c r="D199" s="184">
        <f t="shared" si="14"/>
        <v>0</v>
      </c>
      <c r="E199" s="184">
        <f t="shared" si="14"/>
        <v>228041</v>
      </c>
      <c r="F199" s="184">
        <f t="shared" si="14"/>
        <v>390928</v>
      </c>
    </row>
    <row r="200" spans="1:6" s="198" customFormat="1" ht="15">
      <c r="A200" s="223" t="s">
        <v>244</v>
      </c>
      <c r="B200" s="182" t="s">
        <v>724</v>
      </c>
      <c r="C200" s="183" t="s">
        <v>245</v>
      </c>
      <c r="D200" s="184">
        <v>0</v>
      </c>
      <c r="E200" s="184">
        <v>228041</v>
      </c>
      <c r="F200" s="184">
        <v>390928</v>
      </c>
    </row>
    <row r="201" spans="1:6" s="198" customFormat="1" ht="31.5" customHeight="1">
      <c r="A201" s="199" t="s">
        <v>842</v>
      </c>
      <c r="B201" s="204" t="s">
        <v>460</v>
      </c>
      <c r="C201" s="193"/>
      <c r="D201" s="254">
        <f>D202+D204+D206</f>
        <v>1156323</v>
      </c>
      <c r="E201" s="254">
        <f>E202+E204+E206</f>
        <v>1094781</v>
      </c>
      <c r="F201" s="254">
        <f>F202+F204+F206</f>
        <v>764404</v>
      </c>
    </row>
    <row r="202" spans="1:6" s="198" customFormat="1" ht="40.5" customHeight="1">
      <c r="A202" s="199" t="s">
        <v>461</v>
      </c>
      <c r="B202" s="204" t="s">
        <v>462</v>
      </c>
      <c r="C202" s="193"/>
      <c r="D202" s="254">
        <f>D203</f>
        <v>809426</v>
      </c>
      <c r="E202" s="254">
        <f>E203</f>
        <v>766347</v>
      </c>
      <c r="F202" s="254">
        <f>F203</f>
        <v>535083</v>
      </c>
    </row>
    <row r="203" spans="1:6" s="198" customFormat="1" ht="31.5" customHeight="1">
      <c r="A203" s="189" t="s">
        <v>206</v>
      </c>
      <c r="B203" s="204" t="s">
        <v>462</v>
      </c>
      <c r="C203" s="193" t="s">
        <v>207</v>
      </c>
      <c r="D203" s="184">
        <v>809426</v>
      </c>
      <c r="E203" s="184">
        <v>766347</v>
      </c>
      <c r="F203" s="184">
        <v>535083</v>
      </c>
    </row>
    <row r="204" spans="1:6" s="198" customFormat="1" ht="45" customHeight="1">
      <c r="A204" s="199" t="s">
        <v>465</v>
      </c>
      <c r="B204" s="204" t="s">
        <v>466</v>
      </c>
      <c r="C204" s="193"/>
      <c r="D204" s="254">
        <f>D205</f>
        <v>346897</v>
      </c>
      <c r="E204" s="254">
        <f>E205</f>
        <v>328434</v>
      </c>
      <c r="F204" s="254">
        <f>F205</f>
        <v>229321</v>
      </c>
    </row>
    <row r="205" spans="1:6" s="198" customFormat="1" ht="15.75" customHeight="1">
      <c r="A205" s="189" t="s">
        <v>206</v>
      </c>
      <c r="B205" s="204" t="s">
        <v>466</v>
      </c>
      <c r="C205" s="193" t="s">
        <v>207</v>
      </c>
      <c r="D205" s="184">
        <f>346897</f>
        <v>346897</v>
      </c>
      <c r="E205" s="184">
        <f>328434</f>
        <v>328434</v>
      </c>
      <c r="F205" s="184">
        <v>229321</v>
      </c>
    </row>
    <row r="206" spans="1:6" s="198" customFormat="1" ht="26.25" hidden="1">
      <c r="A206" s="189" t="s">
        <v>463</v>
      </c>
      <c r="B206" s="204" t="s">
        <v>464</v>
      </c>
      <c r="C206" s="193"/>
      <c r="D206" s="184">
        <f>D207</f>
        <v>0</v>
      </c>
      <c r="E206" s="184">
        <f>E207</f>
        <v>0</v>
      </c>
      <c r="F206" s="184">
        <f>F207</f>
        <v>0</v>
      </c>
    </row>
    <row r="207" spans="1:6" s="198" customFormat="1" ht="15" hidden="1">
      <c r="A207" s="189" t="s">
        <v>206</v>
      </c>
      <c r="B207" s="204" t="s">
        <v>464</v>
      </c>
      <c r="C207" s="193" t="s">
        <v>207</v>
      </c>
      <c r="D207" s="184"/>
      <c r="E207" s="184"/>
      <c r="F207" s="184"/>
    </row>
    <row r="208" spans="1:6" s="198" customFormat="1" ht="26.25" hidden="1">
      <c r="A208" s="189" t="s">
        <v>517</v>
      </c>
      <c r="B208" s="204" t="s">
        <v>518</v>
      </c>
      <c r="C208" s="193"/>
      <c r="D208" s="184">
        <f aca="true" t="shared" si="15" ref="D208:F209">D209</f>
        <v>0</v>
      </c>
      <c r="E208" s="184">
        <f t="shared" si="15"/>
        <v>0</v>
      </c>
      <c r="F208" s="184">
        <f t="shared" si="15"/>
        <v>0</v>
      </c>
    </row>
    <row r="209" spans="1:6" s="198" customFormat="1" ht="15" hidden="1">
      <c r="A209" s="189" t="s">
        <v>519</v>
      </c>
      <c r="B209" s="204" t="s">
        <v>520</v>
      </c>
      <c r="C209" s="193"/>
      <c r="D209" s="184">
        <f t="shared" si="15"/>
        <v>0</v>
      </c>
      <c r="E209" s="184">
        <f t="shared" si="15"/>
        <v>0</v>
      </c>
      <c r="F209" s="184">
        <f t="shared" si="15"/>
        <v>0</v>
      </c>
    </row>
    <row r="210" spans="1:6" s="198" customFormat="1" ht="15" hidden="1">
      <c r="A210" s="189" t="s">
        <v>274</v>
      </c>
      <c r="B210" s="204" t="s">
        <v>520</v>
      </c>
      <c r="C210" s="193" t="s">
        <v>275</v>
      </c>
      <c r="D210" s="184"/>
      <c r="E210" s="184"/>
      <c r="F210" s="184"/>
    </row>
    <row r="211" spans="1:6" s="198" customFormat="1" ht="15">
      <c r="A211" s="189" t="s">
        <v>487</v>
      </c>
      <c r="B211" s="207" t="s">
        <v>488</v>
      </c>
      <c r="C211" s="193"/>
      <c r="D211" s="184">
        <f aca="true" t="shared" si="16" ref="D211:F212">D212</f>
        <v>49000</v>
      </c>
      <c r="E211" s="184">
        <f t="shared" si="16"/>
        <v>49000</v>
      </c>
      <c r="F211" s="184">
        <f t="shared" si="16"/>
        <v>49000</v>
      </c>
    </row>
    <row r="212" spans="1:6" s="198" customFormat="1" ht="15">
      <c r="A212" s="189" t="s">
        <v>448</v>
      </c>
      <c r="B212" s="207" t="s">
        <v>489</v>
      </c>
      <c r="C212" s="193"/>
      <c r="D212" s="184">
        <f t="shared" si="16"/>
        <v>49000</v>
      </c>
      <c r="E212" s="184">
        <f t="shared" si="16"/>
        <v>49000</v>
      </c>
      <c r="F212" s="184">
        <f t="shared" si="16"/>
        <v>49000</v>
      </c>
    </row>
    <row r="213" spans="1:6" s="198" customFormat="1" ht="15">
      <c r="A213" s="189" t="s">
        <v>206</v>
      </c>
      <c r="B213" s="207" t="s">
        <v>489</v>
      </c>
      <c r="C213" s="193" t="s">
        <v>207</v>
      </c>
      <c r="D213" s="184">
        <v>49000</v>
      </c>
      <c r="E213" s="184">
        <v>49000</v>
      </c>
      <c r="F213" s="184">
        <v>49000</v>
      </c>
    </row>
    <row r="214" spans="1:10" ht="45" customHeight="1">
      <c r="A214" s="199" t="s">
        <v>621</v>
      </c>
      <c r="B214" s="207" t="s">
        <v>622</v>
      </c>
      <c r="C214" s="183"/>
      <c r="D214" s="254">
        <f>D215+D219+D228</f>
        <v>11597044</v>
      </c>
      <c r="E214" s="254">
        <f>E215+E219+E228</f>
        <v>9328393</v>
      </c>
      <c r="F214" s="254">
        <f>F215+F219+F228</f>
        <v>9448499</v>
      </c>
      <c r="H214" s="194"/>
      <c r="I214" s="194"/>
      <c r="J214" s="194"/>
    </row>
    <row r="215" spans="1:6" s="198" customFormat="1" ht="63" customHeight="1">
      <c r="A215" s="199" t="s">
        <v>623</v>
      </c>
      <c r="B215" s="207" t="s">
        <v>624</v>
      </c>
      <c r="C215" s="210"/>
      <c r="D215" s="254">
        <f aca="true" t="shared" si="17" ref="D215:F217">D216</f>
        <v>100000</v>
      </c>
      <c r="E215" s="254">
        <f t="shared" si="17"/>
        <v>100000</v>
      </c>
      <c r="F215" s="254">
        <f t="shared" si="17"/>
        <v>100000</v>
      </c>
    </row>
    <row r="216" spans="1:6" ht="45" customHeight="1">
      <c r="A216" s="199" t="s">
        <v>625</v>
      </c>
      <c r="B216" s="207" t="s">
        <v>626</v>
      </c>
      <c r="C216" s="210"/>
      <c r="D216" s="254">
        <f t="shared" si="17"/>
        <v>100000</v>
      </c>
      <c r="E216" s="254">
        <f t="shared" si="17"/>
        <v>100000</v>
      </c>
      <c r="F216" s="254">
        <f t="shared" si="17"/>
        <v>100000</v>
      </c>
    </row>
    <row r="217" spans="1:6" ht="15.75" customHeight="1">
      <c r="A217" s="199" t="s">
        <v>627</v>
      </c>
      <c r="B217" s="207" t="s">
        <v>628</v>
      </c>
      <c r="C217" s="210"/>
      <c r="D217" s="254">
        <f>D218</f>
        <v>100000</v>
      </c>
      <c r="E217" s="254">
        <f t="shared" si="17"/>
        <v>100000</v>
      </c>
      <c r="F217" s="254">
        <f t="shared" si="17"/>
        <v>100000</v>
      </c>
    </row>
    <row r="218" spans="1:6" s="198" customFormat="1" ht="20.25" customHeight="1">
      <c r="A218" s="192" t="s">
        <v>206</v>
      </c>
      <c r="B218" s="207" t="s">
        <v>628</v>
      </c>
      <c r="C218" s="210" t="s">
        <v>207</v>
      </c>
      <c r="D218" s="184">
        <v>100000</v>
      </c>
      <c r="E218" s="184">
        <v>100000</v>
      </c>
      <c r="F218" s="184">
        <v>100000</v>
      </c>
    </row>
    <row r="219" spans="1:6" s="198" customFormat="1" ht="58.5" customHeight="1">
      <c r="A219" s="211" t="s">
        <v>737</v>
      </c>
      <c r="B219" s="207" t="s">
        <v>738</v>
      </c>
      <c r="C219" s="183"/>
      <c r="D219" s="254">
        <f>D220+D223</f>
        <v>7741000</v>
      </c>
      <c r="E219" s="254">
        <f>E220+E223</f>
        <v>6622836</v>
      </c>
      <c r="F219" s="254">
        <f>F220+F223</f>
        <v>6730411</v>
      </c>
    </row>
    <row r="220" spans="1:6" s="198" customFormat="1" ht="31.5" customHeight="1">
      <c r="A220" s="211" t="s">
        <v>739</v>
      </c>
      <c r="B220" s="207" t="s">
        <v>740</v>
      </c>
      <c r="C220" s="183"/>
      <c r="D220" s="254">
        <f aca="true" t="shared" si="18" ref="D220:F221">D221</f>
        <v>100000</v>
      </c>
      <c r="E220" s="254">
        <f t="shared" si="18"/>
        <v>100000</v>
      </c>
      <c r="F220" s="254">
        <f t="shared" si="18"/>
        <v>100000</v>
      </c>
    </row>
    <row r="221" spans="1:6" ht="39">
      <c r="A221" s="187" t="s">
        <v>741</v>
      </c>
      <c r="B221" s="207" t="s">
        <v>742</v>
      </c>
      <c r="C221" s="183"/>
      <c r="D221" s="254">
        <f t="shared" si="18"/>
        <v>100000</v>
      </c>
      <c r="E221" s="254">
        <f t="shared" si="18"/>
        <v>100000</v>
      </c>
      <c r="F221" s="254">
        <f t="shared" si="18"/>
        <v>100000</v>
      </c>
    </row>
    <row r="222" spans="1:6" s="198" customFormat="1" ht="25.5" customHeight="1">
      <c r="A222" s="189" t="s">
        <v>206</v>
      </c>
      <c r="B222" s="207" t="s">
        <v>742</v>
      </c>
      <c r="C222" s="183" t="s">
        <v>207</v>
      </c>
      <c r="D222" s="184">
        <v>100000</v>
      </c>
      <c r="E222" s="184">
        <v>100000</v>
      </c>
      <c r="F222" s="184">
        <v>100000</v>
      </c>
    </row>
    <row r="223" spans="1:6" s="198" customFormat="1" ht="36.75" customHeight="1">
      <c r="A223" s="230" t="s">
        <v>743</v>
      </c>
      <c r="B223" s="207" t="s">
        <v>744</v>
      </c>
      <c r="C223" s="183"/>
      <c r="D223" s="254">
        <f>D224</f>
        <v>7641000</v>
      </c>
      <c r="E223" s="254">
        <f>E224</f>
        <v>6522836</v>
      </c>
      <c r="F223" s="254">
        <f>F224</f>
        <v>6630411</v>
      </c>
    </row>
    <row r="224" spans="1:6" s="198" customFormat="1" ht="15">
      <c r="A224" s="199" t="s">
        <v>366</v>
      </c>
      <c r="B224" s="207" t="s">
        <v>745</v>
      </c>
      <c r="C224" s="183"/>
      <c r="D224" s="254">
        <f>D225+D226+D227</f>
        <v>7641000</v>
      </c>
      <c r="E224" s="254">
        <f>E225+E226+E227</f>
        <v>6522836</v>
      </c>
      <c r="F224" s="254">
        <f>F225+F226+F227</f>
        <v>6630411</v>
      </c>
    </row>
    <row r="225" spans="1:6" ht="39">
      <c r="A225" s="189" t="s">
        <v>194</v>
      </c>
      <c r="B225" s="207" t="s">
        <v>745</v>
      </c>
      <c r="C225" s="183" t="s">
        <v>195</v>
      </c>
      <c r="D225" s="184">
        <f>6484500</f>
        <v>6484500</v>
      </c>
      <c r="E225" s="184">
        <v>5366336</v>
      </c>
      <c r="F225" s="184">
        <v>5473911</v>
      </c>
    </row>
    <row r="226" spans="1:6" ht="15">
      <c r="A226" s="189" t="s">
        <v>206</v>
      </c>
      <c r="B226" s="207" t="s">
        <v>745</v>
      </c>
      <c r="C226" s="183" t="s">
        <v>207</v>
      </c>
      <c r="D226" s="184">
        <f>1059000</f>
        <v>1059000</v>
      </c>
      <c r="E226" s="184">
        <f>1059000</f>
        <v>1059000</v>
      </c>
      <c r="F226" s="184">
        <f>1059000</f>
        <v>1059000</v>
      </c>
    </row>
    <row r="227" spans="1:6" ht="13.5" customHeight="1">
      <c r="A227" s="199" t="s">
        <v>274</v>
      </c>
      <c r="B227" s="207" t="s">
        <v>745</v>
      </c>
      <c r="C227" s="183" t="s">
        <v>275</v>
      </c>
      <c r="D227" s="184">
        <v>97500</v>
      </c>
      <c r="E227" s="184">
        <v>97500</v>
      </c>
      <c r="F227" s="184">
        <v>97500</v>
      </c>
    </row>
    <row r="228" spans="1:6" s="198" customFormat="1" ht="58.5" customHeight="1">
      <c r="A228" s="273" t="s">
        <v>633</v>
      </c>
      <c r="B228" s="207" t="s">
        <v>634</v>
      </c>
      <c r="C228" s="210"/>
      <c r="D228" s="254">
        <f>D229+D236</f>
        <v>3756044</v>
      </c>
      <c r="E228" s="254">
        <f>E229+E236</f>
        <v>2605557</v>
      </c>
      <c r="F228" s="254">
        <f>F229+F236</f>
        <v>2618088</v>
      </c>
    </row>
    <row r="229" spans="1:6" ht="25.5">
      <c r="A229" s="199" t="s">
        <v>635</v>
      </c>
      <c r="B229" s="207" t="s">
        <v>636</v>
      </c>
      <c r="C229" s="210"/>
      <c r="D229" s="254">
        <f>D230+D233</f>
        <v>3000704</v>
      </c>
      <c r="E229" s="254">
        <f>E230+E233</f>
        <v>1980465</v>
      </c>
      <c r="F229" s="254">
        <f>F230+F233</f>
        <v>1980465</v>
      </c>
    </row>
    <row r="230" spans="1:6" ht="15">
      <c r="A230" s="187" t="s">
        <v>637</v>
      </c>
      <c r="B230" s="207" t="s">
        <v>638</v>
      </c>
      <c r="C230" s="183"/>
      <c r="D230" s="254">
        <f>D231+D232</f>
        <v>1020239</v>
      </c>
      <c r="E230" s="254">
        <f>E231+E232</f>
        <v>0</v>
      </c>
      <c r="F230" s="254">
        <f>F231+F232</f>
        <v>0</v>
      </c>
    </row>
    <row r="231" spans="1:6" ht="15">
      <c r="A231" s="189" t="s">
        <v>206</v>
      </c>
      <c r="B231" s="207" t="s">
        <v>638</v>
      </c>
      <c r="C231" s="210" t="s">
        <v>207</v>
      </c>
      <c r="D231" s="184">
        <v>451759</v>
      </c>
      <c r="E231" s="184">
        <v>0</v>
      </c>
      <c r="F231" s="184">
        <v>0</v>
      </c>
    </row>
    <row r="232" spans="1:6" ht="15">
      <c r="A232" s="187" t="s">
        <v>244</v>
      </c>
      <c r="B232" s="207" t="s">
        <v>638</v>
      </c>
      <c r="C232" s="210" t="s">
        <v>245</v>
      </c>
      <c r="D232" s="184">
        <v>568480</v>
      </c>
      <c r="E232" s="184">
        <v>0</v>
      </c>
      <c r="F232" s="184">
        <v>0</v>
      </c>
    </row>
    <row r="233" spans="1:6" ht="18.75" customHeight="1">
      <c r="A233" s="274" t="s">
        <v>639</v>
      </c>
      <c r="B233" s="207" t="s">
        <v>640</v>
      </c>
      <c r="C233" s="183"/>
      <c r="D233" s="254">
        <f>D235+D234</f>
        <v>1980465</v>
      </c>
      <c r="E233" s="254">
        <f>E235+E234</f>
        <v>1980465</v>
      </c>
      <c r="F233" s="254">
        <f>F235+F234</f>
        <v>1980465</v>
      </c>
    </row>
    <row r="234" spans="1:6" ht="29.25" customHeight="1">
      <c r="A234" s="189" t="s">
        <v>206</v>
      </c>
      <c r="B234" s="207" t="s">
        <v>640</v>
      </c>
      <c r="C234" s="210" t="s">
        <v>207</v>
      </c>
      <c r="D234" s="184">
        <v>817665</v>
      </c>
      <c r="E234" s="184">
        <v>817665</v>
      </c>
      <c r="F234" s="184">
        <v>817665</v>
      </c>
    </row>
    <row r="235" spans="1:6" ht="18" customHeight="1">
      <c r="A235" s="187" t="s">
        <v>244</v>
      </c>
      <c r="B235" s="207" t="s">
        <v>640</v>
      </c>
      <c r="C235" s="210" t="s">
        <v>245</v>
      </c>
      <c r="D235" s="184">
        <v>1162800</v>
      </c>
      <c r="E235" s="184">
        <v>1162800</v>
      </c>
      <c r="F235" s="184">
        <v>1162800</v>
      </c>
    </row>
    <row r="236" spans="1:6" ht="38.25" customHeight="1">
      <c r="A236" s="199" t="s">
        <v>641</v>
      </c>
      <c r="B236" s="207" t="s">
        <v>642</v>
      </c>
      <c r="C236" s="210"/>
      <c r="D236" s="254">
        <f aca="true" t="shared" si="19" ref="D236:F237">D237</f>
        <v>755340</v>
      </c>
      <c r="E236" s="254">
        <f t="shared" si="19"/>
        <v>625092</v>
      </c>
      <c r="F236" s="254">
        <f t="shared" si="19"/>
        <v>637623</v>
      </c>
    </row>
    <row r="237" spans="1:6" ht="23.25" customHeight="1">
      <c r="A237" s="188" t="s">
        <v>366</v>
      </c>
      <c r="B237" s="207" t="s">
        <v>647</v>
      </c>
      <c r="C237" s="210"/>
      <c r="D237" s="254">
        <f t="shared" si="19"/>
        <v>755340</v>
      </c>
      <c r="E237" s="254">
        <f t="shared" si="19"/>
        <v>625092</v>
      </c>
      <c r="F237" s="254">
        <f t="shared" si="19"/>
        <v>637623</v>
      </c>
    </row>
    <row r="238" spans="1:6" ht="25.5" customHeight="1">
      <c r="A238" s="187" t="s">
        <v>614</v>
      </c>
      <c r="B238" s="207" t="s">
        <v>647</v>
      </c>
      <c r="C238" s="210" t="s">
        <v>615</v>
      </c>
      <c r="D238" s="184">
        <f>755340</f>
        <v>755340</v>
      </c>
      <c r="E238" s="184">
        <v>625092</v>
      </c>
      <c r="F238" s="184">
        <v>637623</v>
      </c>
    </row>
    <row r="239" spans="1:10" ht="37.5" customHeight="1">
      <c r="A239" s="277" t="s">
        <v>317</v>
      </c>
      <c r="B239" s="182" t="s">
        <v>318</v>
      </c>
      <c r="C239" s="193"/>
      <c r="D239" s="184">
        <f>D240</f>
        <v>598000</v>
      </c>
      <c r="E239" s="184">
        <f aca="true" t="shared" si="20" ref="E239:F242">E240</f>
        <v>598000</v>
      </c>
      <c r="F239" s="184">
        <f t="shared" si="20"/>
        <v>598000</v>
      </c>
      <c r="H239" s="194"/>
      <c r="I239" s="194"/>
      <c r="J239" s="194"/>
    </row>
    <row r="240" spans="1:6" s="198" customFormat="1" ht="57.75" customHeight="1">
      <c r="A240" s="273" t="s">
        <v>319</v>
      </c>
      <c r="B240" s="182" t="s">
        <v>320</v>
      </c>
      <c r="C240" s="193"/>
      <c r="D240" s="184">
        <f>D241</f>
        <v>598000</v>
      </c>
      <c r="E240" s="184">
        <f t="shared" si="20"/>
        <v>598000</v>
      </c>
      <c r="F240" s="184">
        <f t="shared" si="20"/>
        <v>598000</v>
      </c>
    </row>
    <row r="241" spans="1:6" s="198" customFormat="1" ht="27" customHeight="1">
      <c r="A241" s="273" t="s">
        <v>321</v>
      </c>
      <c r="B241" s="182" t="s">
        <v>322</v>
      </c>
      <c r="C241" s="193"/>
      <c r="D241" s="184">
        <f>D242</f>
        <v>598000</v>
      </c>
      <c r="E241" s="184">
        <f t="shared" si="20"/>
        <v>598000</v>
      </c>
      <c r="F241" s="184">
        <f t="shared" si="20"/>
        <v>598000</v>
      </c>
    </row>
    <row r="242" spans="1:6" ht="16.5" customHeight="1">
      <c r="A242" s="273" t="s">
        <v>323</v>
      </c>
      <c r="B242" s="182" t="s">
        <v>324</v>
      </c>
      <c r="C242" s="193"/>
      <c r="D242" s="184">
        <f>D243</f>
        <v>598000</v>
      </c>
      <c r="E242" s="184">
        <f t="shared" si="20"/>
        <v>598000</v>
      </c>
      <c r="F242" s="184">
        <f t="shared" si="20"/>
        <v>598000</v>
      </c>
    </row>
    <row r="243" spans="1:6" ht="27" customHeight="1">
      <c r="A243" s="189" t="s">
        <v>206</v>
      </c>
      <c r="B243" s="182" t="s">
        <v>324</v>
      </c>
      <c r="C243" s="183" t="s">
        <v>207</v>
      </c>
      <c r="D243" s="184">
        <f>748000-150000</f>
        <v>598000</v>
      </c>
      <c r="E243" s="184">
        <f>748000-150000</f>
        <v>598000</v>
      </c>
      <c r="F243" s="184">
        <f>748000-150000</f>
        <v>598000</v>
      </c>
    </row>
    <row r="244" spans="1:10" ht="33" customHeight="1">
      <c r="A244" s="181" t="s">
        <v>219</v>
      </c>
      <c r="B244" s="190" t="s">
        <v>220</v>
      </c>
      <c r="C244" s="183"/>
      <c r="D244" s="254">
        <f>D245</f>
        <v>597257</v>
      </c>
      <c r="E244" s="254">
        <f aca="true" t="shared" si="21" ref="D244:F245">E245</f>
        <v>544408</v>
      </c>
      <c r="F244" s="254">
        <f t="shared" si="21"/>
        <v>544408</v>
      </c>
      <c r="H244" s="194"/>
      <c r="I244" s="194"/>
      <c r="J244" s="194"/>
    </row>
    <row r="245" spans="1:6" s="198" customFormat="1" ht="60" customHeight="1">
      <c r="A245" s="197" t="s">
        <v>221</v>
      </c>
      <c r="B245" s="190" t="s">
        <v>222</v>
      </c>
      <c r="C245" s="183"/>
      <c r="D245" s="254">
        <f t="shared" si="21"/>
        <v>597257</v>
      </c>
      <c r="E245" s="254">
        <f t="shared" si="21"/>
        <v>544408</v>
      </c>
      <c r="F245" s="254">
        <f t="shared" si="21"/>
        <v>544408</v>
      </c>
    </row>
    <row r="246" spans="1:6" s="198" customFormat="1" ht="29.25" customHeight="1">
      <c r="A246" s="199" t="s">
        <v>223</v>
      </c>
      <c r="B246" s="190" t="s">
        <v>224</v>
      </c>
      <c r="C246" s="183"/>
      <c r="D246" s="254">
        <f>D247+D250</f>
        <v>597257</v>
      </c>
      <c r="E246" s="254">
        <f>E247+E250</f>
        <v>544408</v>
      </c>
      <c r="F246" s="254">
        <f>F247+F250</f>
        <v>544408</v>
      </c>
    </row>
    <row r="247" spans="1:6" ht="21" customHeight="1">
      <c r="A247" s="274" t="s">
        <v>225</v>
      </c>
      <c r="B247" s="190" t="s">
        <v>226</v>
      </c>
      <c r="C247" s="183"/>
      <c r="D247" s="254">
        <f>D248+D249</f>
        <v>369408</v>
      </c>
      <c r="E247" s="254">
        <f>E248+E249</f>
        <v>369408</v>
      </c>
      <c r="F247" s="254">
        <f>F248+F249</f>
        <v>369408</v>
      </c>
    </row>
    <row r="248" spans="1:6" ht="42.75" customHeight="1">
      <c r="A248" s="189" t="s">
        <v>194</v>
      </c>
      <c r="B248" s="190" t="s">
        <v>226</v>
      </c>
      <c r="C248" s="193" t="s">
        <v>195</v>
      </c>
      <c r="D248" s="184">
        <v>352717</v>
      </c>
      <c r="E248" s="184">
        <v>352717</v>
      </c>
      <c r="F248" s="184">
        <v>352717</v>
      </c>
    </row>
    <row r="249" spans="1:6" ht="25.5" customHeight="1">
      <c r="A249" s="189" t="s">
        <v>206</v>
      </c>
      <c r="B249" s="190" t="s">
        <v>226</v>
      </c>
      <c r="C249" s="193" t="s">
        <v>207</v>
      </c>
      <c r="D249" s="184">
        <v>16691</v>
      </c>
      <c r="E249" s="184">
        <v>16691</v>
      </c>
      <c r="F249" s="184">
        <v>16691</v>
      </c>
    </row>
    <row r="250" spans="1:6" ht="15">
      <c r="A250" s="189" t="s">
        <v>325</v>
      </c>
      <c r="B250" s="190" t="s">
        <v>326</v>
      </c>
      <c r="C250" s="183"/>
      <c r="D250" s="184">
        <f>D251</f>
        <v>227849</v>
      </c>
      <c r="E250" s="184">
        <f>E251</f>
        <v>175000</v>
      </c>
      <c r="F250" s="184">
        <f>F251</f>
        <v>175000</v>
      </c>
    </row>
    <row r="251" spans="1:6" ht="15">
      <c r="A251" s="189" t="s">
        <v>206</v>
      </c>
      <c r="B251" s="190" t="s">
        <v>326</v>
      </c>
      <c r="C251" s="193" t="s">
        <v>207</v>
      </c>
      <c r="D251" s="184">
        <v>227849</v>
      </c>
      <c r="E251" s="184">
        <f>100000+75000</f>
        <v>175000</v>
      </c>
      <c r="F251" s="184">
        <f>100000+75000</f>
        <v>175000</v>
      </c>
    </row>
    <row r="252" spans="1:10" ht="44.25" customHeight="1">
      <c r="A252" s="209" t="s">
        <v>327</v>
      </c>
      <c r="B252" s="207" t="s">
        <v>328</v>
      </c>
      <c r="C252" s="183"/>
      <c r="D252" s="184">
        <f>D253+D288+D293</f>
        <v>46594447</v>
      </c>
      <c r="E252" s="184">
        <f>E253+E288+E293</f>
        <v>30445212</v>
      </c>
      <c r="F252" s="184">
        <f>F253+F288+F293</f>
        <v>9847168</v>
      </c>
      <c r="H252" s="194"/>
      <c r="I252" s="194"/>
      <c r="J252" s="194"/>
    </row>
    <row r="253" spans="1:6" s="198" customFormat="1" ht="51">
      <c r="A253" s="273" t="s">
        <v>408</v>
      </c>
      <c r="B253" s="207" t="s">
        <v>409</v>
      </c>
      <c r="C253" s="183"/>
      <c r="D253" s="184">
        <f>D254+D275</f>
        <v>44006047</v>
      </c>
      <c r="E253" s="184">
        <f>E254+E275</f>
        <v>27856812</v>
      </c>
      <c r="F253" s="184">
        <f>F254+F275</f>
        <v>7258768</v>
      </c>
    </row>
    <row r="254" spans="1:6" s="198" customFormat="1" ht="33" customHeight="1">
      <c r="A254" s="199" t="s">
        <v>410</v>
      </c>
      <c r="B254" s="207" t="s">
        <v>411</v>
      </c>
      <c r="C254" s="183"/>
      <c r="D254" s="184">
        <f>D257+D264+D273+D255+D271</f>
        <v>1580432</v>
      </c>
      <c r="E254" s="184">
        <f>E257+E264+E273+E255+E271</f>
        <v>2343944</v>
      </c>
      <c r="F254" s="184">
        <f>F257+F264+F273+F255+F271</f>
        <v>2758768</v>
      </c>
    </row>
    <row r="255" spans="1:6" ht="25.5" hidden="1">
      <c r="A255" s="199" t="s">
        <v>412</v>
      </c>
      <c r="B255" s="207" t="s">
        <v>413</v>
      </c>
      <c r="C255" s="183"/>
      <c r="D255" s="184">
        <f>D256</f>
        <v>0</v>
      </c>
      <c r="E255" s="184">
        <f>E256</f>
        <v>0</v>
      </c>
      <c r="F255" s="184">
        <f>F256</f>
        <v>0</v>
      </c>
    </row>
    <row r="256" spans="1:6" ht="15" hidden="1">
      <c r="A256" s="189" t="s">
        <v>252</v>
      </c>
      <c r="B256" s="207" t="s">
        <v>413</v>
      </c>
      <c r="C256" s="183" t="s">
        <v>207</v>
      </c>
      <c r="D256" s="184"/>
      <c r="E256" s="184"/>
      <c r="F256" s="184"/>
    </row>
    <row r="257" spans="1:6" s="198" customFormat="1" ht="15" hidden="1">
      <c r="A257" s="189" t="s">
        <v>414</v>
      </c>
      <c r="B257" s="207" t="s">
        <v>415</v>
      </c>
      <c r="C257" s="183"/>
      <c r="D257" s="184">
        <f>D258+D260+D262</f>
        <v>0</v>
      </c>
      <c r="E257" s="184">
        <f>E258+E260+E262</f>
        <v>0</v>
      </c>
      <c r="F257" s="184">
        <f>F258+F260+F262</f>
        <v>0</v>
      </c>
    </row>
    <row r="258" spans="1:6" s="198" customFormat="1" ht="25.5" hidden="1">
      <c r="A258" s="217" t="s">
        <v>416</v>
      </c>
      <c r="B258" s="207" t="s">
        <v>417</v>
      </c>
      <c r="C258" s="183"/>
      <c r="D258" s="184">
        <f>D259</f>
        <v>0</v>
      </c>
      <c r="E258" s="184">
        <f>E259</f>
        <v>0</v>
      </c>
      <c r="F258" s="184">
        <f>F259</f>
        <v>0</v>
      </c>
    </row>
    <row r="259" spans="1:6" ht="15" hidden="1">
      <c r="A259" s="189" t="s">
        <v>252</v>
      </c>
      <c r="B259" s="207" t="s">
        <v>417</v>
      </c>
      <c r="C259" s="183" t="s">
        <v>207</v>
      </c>
      <c r="D259" s="184"/>
      <c r="E259" s="184"/>
      <c r="F259" s="184"/>
    </row>
    <row r="260" spans="1:6" ht="15" hidden="1">
      <c r="A260" s="253"/>
      <c r="B260" s="207" t="s">
        <v>843</v>
      </c>
      <c r="C260" s="183"/>
      <c r="D260" s="184">
        <f>D261</f>
        <v>0</v>
      </c>
      <c r="E260" s="184">
        <f>E261</f>
        <v>0</v>
      </c>
      <c r="F260" s="184">
        <f>F261</f>
        <v>0</v>
      </c>
    </row>
    <row r="261" spans="1:6" ht="15" hidden="1">
      <c r="A261" s="189" t="s">
        <v>252</v>
      </c>
      <c r="B261" s="207" t="s">
        <v>843</v>
      </c>
      <c r="C261" s="183" t="s">
        <v>207</v>
      </c>
      <c r="D261" s="184"/>
      <c r="E261" s="184"/>
      <c r="F261" s="184"/>
    </row>
    <row r="262" spans="1:6" ht="15" hidden="1">
      <c r="A262" s="253"/>
      <c r="B262" s="207" t="s">
        <v>844</v>
      </c>
      <c r="C262" s="183"/>
      <c r="D262" s="184">
        <f>D263</f>
        <v>0</v>
      </c>
      <c r="E262" s="184">
        <f>E263</f>
        <v>0</v>
      </c>
      <c r="F262" s="184">
        <f>F263</f>
        <v>0</v>
      </c>
    </row>
    <row r="263" spans="1:6" ht="15" hidden="1">
      <c r="A263" s="189" t="s">
        <v>252</v>
      </c>
      <c r="B263" s="207" t="s">
        <v>844</v>
      </c>
      <c r="C263" s="183" t="s">
        <v>207</v>
      </c>
      <c r="D263" s="184"/>
      <c r="E263" s="184"/>
      <c r="F263" s="184"/>
    </row>
    <row r="264" spans="1:6" ht="15" hidden="1">
      <c r="A264" s="189" t="s">
        <v>418</v>
      </c>
      <c r="B264" s="207" t="s">
        <v>419</v>
      </c>
      <c r="C264" s="183"/>
      <c r="D264" s="184">
        <f>D265+D267+D269</f>
        <v>0</v>
      </c>
      <c r="E264" s="184">
        <f>E265+E267+E269</f>
        <v>0</v>
      </c>
      <c r="F264" s="184">
        <f>F265+F267+F269</f>
        <v>0</v>
      </c>
    </row>
    <row r="265" spans="1:6" ht="25.5" hidden="1">
      <c r="A265" s="217" t="s">
        <v>416</v>
      </c>
      <c r="B265" s="207" t="s">
        <v>420</v>
      </c>
      <c r="C265" s="183"/>
      <c r="D265" s="184">
        <f>D266</f>
        <v>0</v>
      </c>
      <c r="E265" s="184">
        <f>E266</f>
        <v>0</v>
      </c>
      <c r="F265" s="184">
        <f>F266</f>
        <v>0</v>
      </c>
    </row>
    <row r="266" spans="1:6" ht="15" hidden="1">
      <c r="A266" s="189" t="s">
        <v>252</v>
      </c>
      <c r="B266" s="207" t="s">
        <v>420</v>
      </c>
      <c r="C266" s="183" t="s">
        <v>207</v>
      </c>
      <c r="D266" s="184"/>
      <c r="E266" s="184"/>
      <c r="F266" s="184"/>
    </row>
    <row r="267" spans="1:6" ht="15" hidden="1">
      <c r="A267" s="253"/>
      <c r="B267" s="207" t="s">
        <v>845</v>
      </c>
      <c r="C267" s="183"/>
      <c r="D267" s="184">
        <f>D268</f>
        <v>0</v>
      </c>
      <c r="E267" s="184">
        <f>E268</f>
        <v>0</v>
      </c>
      <c r="F267" s="184">
        <f>F268</f>
        <v>0</v>
      </c>
    </row>
    <row r="268" spans="1:6" ht="15" hidden="1">
      <c r="A268" s="189" t="s">
        <v>252</v>
      </c>
      <c r="B268" s="207" t="s">
        <v>845</v>
      </c>
      <c r="C268" s="183" t="s">
        <v>207</v>
      </c>
      <c r="D268" s="283"/>
      <c r="E268" s="283"/>
      <c r="F268" s="283"/>
    </row>
    <row r="269" spans="1:6" ht="15" hidden="1">
      <c r="A269" s="253"/>
      <c r="B269" s="207" t="s">
        <v>846</v>
      </c>
      <c r="C269" s="183"/>
      <c r="D269" s="184">
        <f>D270</f>
        <v>0</v>
      </c>
      <c r="E269" s="184">
        <f>E270</f>
        <v>0</v>
      </c>
      <c r="F269" s="184">
        <f>F270</f>
        <v>0</v>
      </c>
    </row>
    <row r="270" spans="1:6" ht="15" hidden="1">
      <c r="A270" s="189" t="s">
        <v>252</v>
      </c>
      <c r="B270" s="207" t="s">
        <v>846</v>
      </c>
      <c r="C270" s="183" t="s">
        <v>207</v>
      </c>
      <c r="D270" s="184"/>
      <c r="E270" s="184"/>
      <c r="F270" s="184"/>
    </row>
    <row r="271" spans="1:6" ht="25.5" hidden="1">
      <c r="A271" s="199" t="s">
        <v>421</v>
      </c>
      <c r="B271" s="207" t="s">
        <v>422</v>
      </c>
      <c r="C271" s="183"/>
      <c r="D271" s="184">
        <f>D272</f>
        <v>0</v>
      </c>
      <c r="E271" s="184">
        <f>E272</f>
        <v>0</v>
      </c>
      <c r="F271" s="184">
        <f>F272</f>
        <v>0</v>
      </c>
    </row>
    <row r="272" spans="1:6" ht="15" hidden="1">
      <c r="A272" s="189" t="s">
        <v>252</v>
      </c>
      <c r="B272" s="207" t="s">
        <v>422</v>
      </c>
      <c r="C272" s="183" t="s">
        <v>207</v>
      </c>
      <c r="D272" s="184"/>
      <c r="E272" s="184"/>
      <c r="F272" s="184"/>
    </row>
    <row r="273" spans="1:6" ht="26.25">
      <c r="A273" s="189" t="s">
        <v>423</v>
      </c>
      <c r="B273" s="207" t="s">
        <v>424</v>
      </c>
      <c r="C273" s="183"/>
      <c r="D273" s="184">
        <f>D274</f>
        <v>1580432</v>
      </c>
      <c r="E273" s="184">
        <f>E274</f>
        <v>2343944</v>
      </c>
      <c r="F273" s="184">
        <f>F274</f>
        <v>2758768</v>
      </c>
    </row>
    <row r="274" spans="1:6" ht="18.75" customHeight="1">
      <c r="A274" s="189" t="s">
        <v>252</v>
      </c>
      <c r="B274" s="207" t="s">
        <v>424</v>
      </c>
      <c r="C274" s="183" t="s">
        <v>207</v>
      </c>
      <c r="D274" s="184">
        <v>1580432</v>
      </c>
      <c r="E274" s="184">
        <v>2343944</v>
      </c>
      <c r="F274" s="184">
        <v>2758768</v>
      </c>
    </row>
    <row r="275" spans="1:6" ht="25.5">
      <c r="A275" s="199" t="s">
        <v>425</v>
      </c>
      <c r="B275" s="207" t="s">
        <v>426</v>
      </c>
      <c r="C275" s="183"/>
      <c r="D275" s="184">
        <f>D276+D278+D283+D286+D280</f>
        <v>42425615</v>
      </c>
      <c r="E275" s="184">
        <f>E276+E278+E283+E286+E280</f>
        <v>25512868</v>
      </c>
      <c r="F275" s="184">
        <f>F276+F278+F283+F286+F280</f>
        <v>4500000</v>
      </c>
    </row>
    <row r="276" spans="1:6" ht="25.5">
      <c r="A276" s="199" t="s">
        <v>847</v>
      </c>
      <c r="B276" s="207" t="s">
        <v>432</v>
      </c>
      <c r="C276" s="183"/>
      <c r="D276" s="184">
        <f>D277</f>
        <v>34543432</v>
      </c>
      <c r="E276" s="184">
        <f>E277</f>
        <v>20649455</v>
      </c>
      <c r="F276" s="184">
        <f>F277</f>
        <v>0</v>
      </c>
    </row>
    <row r="277" spans="1:6" ht="15">
      <c r="A277" s="187" t="s">
        <v>429</v>
      </c>
      <c r="B277" s="207" t="s">
        <v>432</v>
      </c>
      <c r="C277" s="183" t="s">
        <v>430</v>
      </c>
      <c r="D277" s="184">
        <v>34543432</v>
      </c>
      <c r="E277" s="184">
        <v>20649455</v>
      </c>
      <c r="F277" s="184">
        <v>0</v>
      </c>
    </row>
    <row r="278" spans="1:6" ht="30.75" customHeight="1">
      <c r="A278" s="199" t="s">
        <v>433</v>
      </c>
      <c r="B278" s="207" t="s">
        <v>434</v>
      </c>
      <c r="C278" s="183"/>
      <c r="D278" s="184">
        <f>D279</f>
        <v>348924</v>
      </c>
      <c r="E278" s="184">
        <f>E279</f>
        <v>208580</v>
      </c>
      <c r="F278" s="184">
        <f>F279</f>
        <v>0</v>
      </c>
    </row>
    <row r="279" spans="1:6" ht="15">
      <c r="A279" s="187" t="s">
        <v>429</v>
      </c>
      <c r="B279" s="207" t="s">
        <v>434</v>
      </c>
      <c r="C279" s="183" t="s">
        <v>430</v>
      </c>
      <c r="D279" s="184">
        <f>348924</f>
        <v>348924</v>
      </c>
      <c r="E279" s="184">
        <f>208580</f>
        <v>208580</v>
      </c>
      <c r="F279" s="184">
        <v>0</v>
      </c>
    </row>
    <row r="280" spans="1:6" ht="15">
      <c r="A280" s="192" t="s">
        <v>414</v>
      </c>
      <c r="B280" s="207" t="s">
        <v>435</v>
      </c>
      <c r="C280" s="183"/>
      <c r="D280" s="184">
        <f aca="true" t="shared" si="22" ref="D280:F281">D281</f>
        <v>2400000</v>
      </c>
      <c r="E280" s="184">
        <f t="shared" si="22"/>
        <v>0</v>
      </c>
      <c r="F280" s="184">
        <f t="shared" si="22"/>
        <v>0</v>
      </c>
    </row>
    <row r="281" spans="1:6" ht="63.75">
      <c r="A281" s="253" t="s">
        <v>436</v>
      </c>
      <c r="B281" s="207" t="s">
        <v>437</v>
      </c>
      <c r="C281" s="183"/>
      <c r="D281" s="184">
        <f t="shared" si="22"/>
        <v>2400000</v>
      </c>
      <c r="E281" s="184">
        <f t="shared" si="22"/>
        <v>0</v>
      </c>
      <c r="F281" s="184">
        <f t="shared" si="22"/>
        <v>0</v>
      </c>
    </row>
    <row r="282" spans="1:6" ht="15">
      <c r="A282" s="199" t="s">
        <v>429</v>
      </c>
      <c r="B282" s="207" t="s">
        <v>437</v>
      </c>
      <c r="C282" s="183" t="s">
        <v>430</v>
      </c>
      <c r="D282" s="184">
        <v>2400000</v>
      </c>
      <c r="E282" s="184">
        <v>0</v>
      </c>
      <c r="F282" s="184">
        <v>0</v>
      </c>
    </row>
    <row r="283" spans="1:6" ht="15">
      <c r="A283" s="192" t="s">
        <v>418</v>
      </c>
      <c r="B283" s="207" t="s">
        <v>438</v>
      </c>
      <c r="C283" s="183"/>
      <c r="D283" s="184">
        <f aca="true" t="shared" si="23" ref="D283:F284">D284</f>
        <v>5133259</v>
      </c>
      <c r="E283" s="184">
        <f t="shared" si="23"/>
        <v>0</v>
      </c>
      <c r="F283" s="184">
        <f t="shared" si="23"/>
        <v>0</v>
      </c>
    </row>
    <row r="284" spans="1:6" ht="63.75">
      <c r="A284" s="253" t="s">
        <v>436</v>
      </c>
      <c r="B284" s="207" t="s">
        <v>439</v>
      </c>
      <c r="C284" s="183"/>
      <c r="D284" s="184">
        <f t="shared" si="23"/>
        <v>5133259</v>
      </c>
      <c r="E284" s="184">
        <f t="shared" si="23"/>
        <v>0</v>
      </c>
      <c r="F284" s="184">
        <f t="shared" si="23"/>
        <v>0</v>
      </c>
    </row>
    <row r="285" spans="1:6" ht="19.5" customHeight="1">
      <c r="A285" s="199" t="s">
        <v>429</v>
      </c>
      <c r="B285" s="207" t="s">
        <v>439</v>
      </c>
      <c r="C285" s="183" t="s">
        <v>430</v>
      </c>
      <c r="D285" s="184">
        <f>5133259</f>
        <v>5133259</v>
      </c>
      <c r="E285" s="184">
        <v>0</v>
      </c>
      <c r="F285" s="184">
        <v>0</v>
      </c>
    </row>
    <row r="286" spans="1:6" ht="26.25">
      <c r="A286" s="189" t="s">
        <v>427</v>
      </c>
      <c r="B286" s="207" t="s">
        <v>428</v>
      </c>
      <c r="C286" s="183"/>
      <c r="D286" s="184">
        <f>D287</f>
        <v>0</v>
      </c>
      <c r="E286" s="184">
        <f>E287</f>
        <v>4654833</v>
      </c>
      <c r="F286" s="184">
        <f>F287</f>
        <v>4500000</v>
      </c>
    </row>
    <row r="287" spans="1:6" ht="15">
      <c r="A287" s="187" t="s">
        <v>429</v>
      </c>
      <c r="B287" s="207" t="s">
        <v>428</v>
      </c>
      <c r="C287" s="183" t="s">
        <v>430</v>
      </c>
      <c r="D287" s="184">
        <v>0</v>
      </c>
      <c r="E287" s="184">
        <v>4654833</v>
      </c>
      <c r="F287" s="184">
        <v>4500000</v>
      </c>
    </row>
    <row r="288" spans="1:6" s="198" customFormat="1" ht="54.75" customHeight="1">
      <c r="A288" s="211" t="s">
        <v>400</v>
      </c>
      <c r="B288" s="207" t="s">
        <v>401</v>
      </c>
      <c r="C288" s="183"/>
      <c r="D288" s="254">
        <f aca="true" t="shared" si="24" ref="D288:F289">D289</f>
        <v>2518000</v>
      </c>
      <c r="E288" s="254">
        <f t="shared" si="24"/>
        <v>2518000</v>
      </c>
      <c r="F288" s="254">
        <f t="shared" si="24"/>
        <v>2518000</v>
      </c>
    </row>
    <row r="289" spans="1:6" s="198" customFormat="1" ht="30" customHeight="1">
      <c r="A289" s="199" t="s">
        <v>402</v>
      </c>
      <c r="B289" s="207" t="s">
        <v>403</v>
      </c>
      <c r="C289" s="183"/>
      <c r="D289" s="254">
        <f t="shared" si="24"/>
        <v>2518000</v>
      </c>
      <c r="E289" s="254">
        <f t="shared" si="24"/>
        <v>2518000</v>
      </c>
      <c r="F289" s="254">
        <f t="shared" si="24"/>
        <v>2518000</v>
      </c>
    </row>
    <row r="290" spans="1:6" ht="15">
      <c r="A290" s="187" t="s">
        <v>404</v>
      </c>
      <c r="B290" s="207" t="s">
        <v>405</v>
      </c>
      <c r="C290" s="183"/>
      <c r="D290" s="254">
        <f>D292+D291</f>
        <v>2518000</v>
      </c>
      <c r="E290" s="254">
        <f>E292+E291</f>
        <v>2518000</v>
      </c>
      <c r="F290" s="254">
        <f>F292+F291</f>
        <v>2518000</v>
      </c>
    </row>
    <row r="291" spans="1:6" ht="21.75" customHeight="1">
      <c r="A291" s="189" t="s">
        <v>252</v>
      </c>
      <c r="B291" s="207" t="s">
        <v>405</v>
      </c>
      <c r="C291" s="183" t="s">
        <v>207</v>
      </c>
      <c r="D291" s="184">
        <f>2518000</f>
        <v>2518000</v>
      </c>
      <c r="E291" s="184">
        <f>2518000</f>
        <v>2518000</v>
      </c>
      <c r="F291" s="184">
        <f>2518000</f>
        <v>2518000</v>
      </c>
    </row>
    <row r="292" spans="1:6" ht="15" hidden="1">
      <c r="A292" s="189" t="s">
        <v>274</v>
      </c>
      <c r="B292" s="207" t="s">
        <v>405</v>
      </c>
      <c r="C292" s="183" t="s">
        <v>275</v>
      </c>
      <c r="D292" s="184"/>
      <c r="E292" s="184"/>
      <c r="F292" s="184"/>
    </row>
    <row r="293" spans="1:6" s="198" customFormat="1" ht="51">
      <c r="A293" s="211" t="s">
        <v>329</v>
      </c>
      <c r="B293" s="207" t="s">
        <v>330</v>
      </c>
      <c r="C293" s="183"/>
      <c r="D293" s="254">
        <f>D294+D299</f>
        <v>70400</v>
      </c>
      <c r="E293" s="254">
        <f>E294+E299</f>
        <v>70400</v>
      </c>
      <c r="F293" s="254">
        <f>F294+F299</f>
        <v>70400</v>
      </c>
    </row>
    <row r="294" spans="1:6" ht="25.5">
      <c r="A294" s="213" t="s">
        <v>331</v>
      </c>
      <c r="B294" s="207" t="s">
        <v>332</v>
      </c>
      <c r="C294" s="183"/>
      <c r="D294" s="254">
        <f>D297+D295</f>
        <v>20000</v>
      </c>
      <c r="E294" s="254">
        <f>E297+E295</f>
        <v>20000</v>
      </c>
      <c r="F294" s="254">
        <f>F297+F295</f>
        <v>20000</v>
      </c>
    </row>
    <row r="295" spans="1:6" ht="25.5">
      <c r="A295" s="199" t="s">
        <v>333</v>
      </c>
      <c r="B295" s="207" t="s">
        <v>334</v>
      </c>
      <c r="C295" s="183"/>
      <c r="D295" s="254">
        <f>D296</f>
        <v>20000</v>
      </c>
      <c r="E295" s="254">
        <f>E296</f>
        <v>20000</v>
      </c>
      <c r="F295" s="254">
        <f>F296</f>
        <v>20000</v>
      </c>
    </row>
    <row r="296" spans="1:6" ht="19.5" customHeight="1">
      <c r="A296" s="189" t="s">
        <v>252</v>
      </c>
      <c r="B296" s="207" t="s">
        <v>334</v>
      </c>
      <c r="C296" s="183" t="s">
        <v>207</v>
      </c>
      <c r="D296" s="184">
        <v>20000</v>
      </c>
      <c r="E296" s="184">
        <v>20000</v>
      </c>
      <c r="F296" s="184">
        <v>20000</v>
      </c>
    </row>
    <row r="297" spans="1:6" ht="15" hidden="1">
      <c r="A297" s="199" t="s">
        <v>848</v>
      </c>
      <c r="B297" s="207" t="s">
        <v>849</v>
      </c>
      <c r="C297" s="183"/>
      <c r="D297" s="254">
        <f>D298</f>
        <v>0</v>
      </c>
      <c r="E297" s="254">
        <f>E298</f>
        <v>0</v>
      </c>
      <c r="F297" s="254">
        <f>F298</f>
        <v>0</v>
      </c>
    </row>
    <row r="298" spans="1:6" ht="15" hidden="1">
      <c r="A298" s="189" t="s">
        <v>206</v>
      </c>
      <c r="B298" s="207" t="s">
        <v>849</v>
      </c>
      <c r="C298" s="183" t="s">
        <v>207</v>
      </c>
      <c r="D298" s="254"/>
      <c r="E298" s="254"/>
      <c r="F298" s="254"/>
    </row>
    <row r="299" spans="1:6" ht="57.75" customHeight="1">
      <c r="A299" s="280" t="s">
        <v>597</v>
      </c>
      <c r="B299" s="207" t="s">
        <v>598</v>
      </c>
      <c r="C299" s="183"/>
      <c r="D299" s="254">
        <f aca="true" t="shared" si="25" ref="D299:F300">D300</f>
        <v>50400</v>
      </c>
      <c r="E299" s="254">
        <f t="shared" si="25"/>
        <v>50400</v>
      </c>
      <c r="F299" s="254">
        <f t="shared" si="25"/>
        <v>50400</v>
      </c>
    </row>
    <row r="300" spans="1:6" ht="31.5" customHeight="1">
      <c r="A300" s="199" t="s">
        <v>333</v>
      </c>
      <c r="B300" s="207" t="s">
        <v>599</v>
      </c>
      <c r="C300" s="183"/>
      <c r="D300" s="254">
        <f t="shared" si="25"/>
        <v>50400</v>
      </c>
      <c r="E300" s="254">
        <f t="shared" si="25"/>
        <v>50400</v>
      </c>
      <c r="F300" s="254">
        <f t="shared" si="25"/>
        <v>50400</v>
      </c>
    </row>
    <row r="301" spans="1:6" ht="27.75" customHeight="1">
      <c r="A301" s="189" t="s">
        <v>206</v>
      </c>
      <c r="B301" s="207" t="s">
        <v>599</v>
      </c>
      <c r="C301" s="183" t="s">
        <v>207</v>
      </c>
      <c r="D301" s="184">
        <v>50400</v>
      </c>
      <c r="E301" s="184">
        <v>50400</v>
      </c>
      <c r="F301" s="184">
        <v>50400</v>
      </c>
    </row>
    <row r="302" spans="1:10" ht="43.5" customHeight="1">
      <c r="A302" s="187" t="s">
        <v>227</v>
      </c>
      <c r="B302" s="190" t="s">
        <v>228</v>
      </c>
      <c r="C302" s="193"/>
      <c r="D302" s="254">
        <f>D309+D303</f>
        <v>806200</v>
      </c>
      <c r="E302" s="254">
        <f>E309+E303</f>
        <v>806200</v>
      </c>
      <c r="F302" s="254">
        <f>F309+F303</f>
        <v>806200</v>
      </c>
      <c r="H302" s="194"/>
      <c r="I302" s="194"/>
      <c r="J302" s="194"/>
    </row>
    <row r="303" spans="1:6" ht="68.25" customHeight="1">
      <c r="A303" s="214" t="s">
        <v>335</v>
      </c>
      <c r="B303" s="190" t="s">
        <v>336</v>
      </c>
      <c r="C303" s="183"/>
      <c r="D303" s="184">
        <f>D304</f>
        <v>110000</v>
      </c>
      <c r="E303" s="184">
        <f>E304</f>
        <v>110000</v>
      </c>
      <c r="F303" s="184">
        <f>F304</f>
        <v>110000</v>
      </c>
    </row>
    <row r="304" spans="1:6" ht="31.5" customHeight="1">
      <c r="A304" s="197" t="s">
        <v>337</v>
      </c>
      <c r="B304" s="204" t="s">
        <v>338</v>
      </c>
      <c r="C304" s="183"/>
      <c r="D304" s="184">
        <f>D305+D307</f>
        <v>110000</v>
      </c>
      <c r="E304" s="184">
        <f>E305+E307</f>
        <v>110000</v>
      </c>
      <c r="F304" s="184">
        <f>F305+F307</f>
        <v>110000</v>
      </c>
    </row>
    <row r="305" spans="1:6" ht="32.25" customHeight="1">
      <c r="A305" s="189" t="s">
        <v>339</v>
      </c>
      <c r="B305" s="204" t="s">
        <v>340</v>
      </c>
      <c r="C305" s="183"/>
      <c r="D305" s="184">
        <f>D306</f>
        <v>50000</v>
      </c>
      <c r="E305" s="184">
        <f>E306</f>
        <v>50000</v>
      </c>
      <c r="F305" s="184">
        <f>F306</f>
        <v>50000</v>
      </c>
    </row>
    <row r="306" spans="1:6" ht="28.5" customHeight="1">
      <c r="A306" s="189" t="s">
        <v>206</v>
      </c>
      <c r="B306" s="204" t="s">
        <v>340</v>
      </c>
      <c r="C306" s="183" t="s">
        <v>207</v>
      </c>
      <c r="D306" s="184">
        <f>20000+30000</f>
        <v>50000</v>
      </c>
      <c r="E306" s="184">
        <f>20000+30000</f>
        <v>50000</v>
      </c>
      <c r="F306" s="184">
        <f>20000+30000</f>
        <v>50000</v>
      </c>
    </row>
    <row r="307" spans="1:6" ht="27" customHeight="1">
      <c r="A307" s="189" t="s">
        <v>341</v>
      </c>
      <c r="B307" s="204" t="s">
        <v>342</v>
      </c>
      <c r="C307" s="183"/>
      <c r="D307" s="184">
        <f>D308</f>
        <v>60000</v>
      </c>
      <c r="E307" s="184">
        <f>E308</f>
        <v>60000</v>
      </c>
      <c r="F307" s="184">
        <f>F308</f>
        <v>60000</v>
      </c>
    </row>
    <row r="308" spans="1:6" ht="28.5" customHeight="1">
      <c r="A308" s="189" t="s">
        <v>206</v>
      </c>
      <c r="B308" s="204" t="s">
        <v>342</v>
      </c>
      <c r="C308" s="183" t="s">
        <v>207</v>
      </c>
      <c r="D308" s="184">
        <f>40000+20000</f>
        <v>60000</v>
      </c>
      <c r="E308" s="184">
        <f>40000+20000</f>
        <v>60000</v>
      </c>
      <c r="F308" s="184">
        <f>40000+20000</f>
        <v>60000</v>
      </c>
    </row>
    <row r="309" spans="1:6" s="198" customFormat="1" ht="59.25" customHeight="1">
      <c r="A309" s="187" t="s">
        <v>229</v>
      </c>
      <c r="B309" s="190" t="s">
        <v>230</v>
      </c>
      <c r="C309" s="193"/>
      <c r="D309" s="254">
        <f>D311+D314</f>
        <v>696200</v>
      </c>
      <c r="E309" s="254">
        <f>E311+E314</f>
        <v>696200</v>
      </c>
      <c r="F309" s="254">
        <f>F311+F314</f>
        <v>696200</v>
      </c>
    </row>
    <row r="310" spans="1:6" ht="45.75" customHeight="1">
      <c r="A310" s="197" t="s">
        <v>231</v>
      </c>
      <c r="B310" s="190" t="s">
        <v>232</v>
      </c>
      <c r="C310" s="193"/>
      <c r="D310" s="254">
        <f>D311+D314</f>
        <v>696200</v>
      </c>
      <c r="E310" s="254">
        <f>E311+E314</f>
        <v>696200</v>
      </c>
      <c r="F310" s="254">
        <f>F311+F314</f>
        <v>696200</v>
      </c>
    </row>
    <row r="311" spans="1:6" ht="40.5" customHeight="1">
      <c r="A311" s="274" t="s">
        <v>233</v>
      </c>
      <c r="B311" s="182" t="s">
        <v>234</v>
      </c>
      <c r="C311" s="183"/>
      <c r="D311" s="254">
        <f>D312+D313</f>
        <v>348100</v>
      </c>
      <c r="E311" s="254">
        <f>E312+E313</f>
        <v>348100</v>
      </c>
      <c r="F311" s="254">
        <f>F312+F313</f>
        <v>348100</v>
      </c>
    </row>
    <row r="312" spans="1:6" ht="43.5" customHeight="1">
      <c r="A312" s="189" t="s">
        <v>194</v>
      </c>
      <c r="B312" s="182" t="s">
        <v>234</v>
      </c>
      <c r="C312" s="193" t="s">
        <v>195</v>
      </c>
      <c r="D312" s="184">
        <v>346296</v>
      </c>
      <c r="E312" s="184">
        <v>346296</v>
      </c>
      <c r="F312" s="184">
        <v>346296</v>
      </c>
    </row>
    <row r="313" spans="1:6" ht="15">
      <c r="A313" s="189" t="s">
        <v>206</v>
      </c>
      <c r="B313" s="182" t="s">
        <v>234</v>
      </c>
      <c r="C313" s="193" t="s">
        <v>207</v>
      </c>
      <c r="D313" s="184">
        <v>1804</v>
      </c>
      <c r="E313" s="184">
        <v>1804</v>
      </c>
      <c r="F313" s="184">
        <v>1804</v>
      </c>
    </row>
    <row r="314" spans="1:6" ht="33.75" customHeight="1">
      <c r="A314" s="274" t="s">
        <v>235</v>
      </c>
      <c r="B314" s="182" t="s">
        <v>236</v>
      </c>
      <c r="C314" s="183"/>
      <c r="D314" s="254">
        <f>D315+D316</f>
        <v>348100</v>
      </c>
      <c r="E314" s="254">
        <f>E315+E316</f>
        <v>348100</v>
      </c>
      <c r="F314" s="254">
        <f>F315+F316</f>
        <v>348100</v>
      </c>
    </row>
    <row r="315" spans="1:6" ht="37.5" customHeight="1">
      <c r="A315" s="189" t="s">
        <v>194</v>
      </c>
      <c r="B315" s="182" t="s">
        <v>236</v>
      </c>
      <c r="C315" s="193" t="s">
        <v>195</v>
      </c>
      <c r="D315" s="184">
        <v>348100</v>
      </c>
      <c r="E315" s="184">
        <v>348100</v>
      </c>
      <c r="F315" s="184">
        <v>348100</v>
      </c>
    </row>
    <row r="316" spans="1:6" ht="15" hidden="1">
      <c r="A316" s="189" t="s">
        <v>206</v>
      </c>
      <c r="B316" s="182" t="s">
        <v>236</v>
      </c>
      <c r="C316" s="193" t="s">
        <v>207</v>
      </c>
      <c r="D316" s="184"/>
      <c r="E316" s="184"/>
      <c r="F316" s="184"/>
    </row>
    <row r="317" spans="1:10" ht="56.25" customHeight="1">
      <c r="A317" s="197" t="s">
        <v>379</v>
      </c>
      <c r="B317" s="207" t="s">
        <v>380</v>
      </c>
      <c r="C317" s="193"/>
      <c r="D317" s="254">
        <f>D318</f>
        <v>1625000</v>
      </c>
      <c r="E317" s="254">
        <f>E318</f>
        <v>1625000</v>
      </c>
      <c r="F317" s="254">
        <f>F318</f>
        <v>1625000</v>
      </c>
      <c r="H317" s="194"/>
      <c r="I317" s="194"/>
      <c r="J317" s="194"/>
    </row>
    <row r="318" spans="1:6" ht="80.25" customHeight="1">
      <c r="A318" s="200" t="s">
        <v>381</v>
      </c>
      <c r="B318" s="207" t="s">
        <v>382</v>
      </c>
      <c r="C318" s="193"/>
      <c r="D318" s="254">
        <f>D319+D322</f>
        <v>1625000</v>
      </c>
      <c r="E318" s="254">
        <f>E319+E322</f>
        <v>1625000</v>
      </c>
      <c r="F318" s="254">
        <f>F319+F322</f>
        <v>1625000</v>
      </c>
    </row>
    <row r="319" spans="1:6" ht="57" customHeight="1">
      <c r="A319" s="196" t="s">
        <v>387</v>
      </c>
      <c r="B319" s="207" t="s">
        <v>388</v>
      </c>
      <c r="C319" s="193"/>
      <c r="D319" s="254">
        <f aca="true" t="shared" si="26" ref="D319:F320">D320</f>
        <v>51000</v>
      </c>
      <c r="E319" s="254">
        <f t="shared" si="26"/>
        <v>51000</v>
      </c>
      <c r="F319" s="254">
        <f t="shared" si="26"/>
        <v>51000</v>
      </c>
    </row>
    <row r="320" spans="1:6" ht="26.25">
      <c r="A320" s="189" t="s">
        <v>385</v>
      </c>
      <c r="B320" s="207" t="s">
        <v>389</v>
      </c>
      <c r="C320" s="193"/>
      <c r="D320" s="254">
        <f t="shared" si="26"/>
        <v>51000</v>
      </c>
      <c r="E320" s="254">
        <f t="shared" si="26"/>
        <v>51000</v>
      </c>
      <c r="F320" s="254">
        <f t="shared" si="26"/>
        <v>51000</v>
      </c>
    </row>
    <row r="321" spans="1:6" ht="30" customHeight="1">
      <c r="A321" s="189" t="s">
        <v>206</v>
      </c>
      <c r="B321" s="207" t="s">
        <v>389</v>
      </c>
      <c r="C321" s="193" t="s">
        <v>207</v>
      </c>
      <c r="D321" s="184">
        <v>51000</v>
      </c>
      <c r="E321" s="184">
        <v>51000</v>
      </c>
      <c r="F321" s="184">
        <v>51000</v>
      </c>
    </row>
    <row r="322" spans="1:6" ht="36.75" customHeight="1">
      <c r="A322" s="196" t="s">
        <v>390</v>
      </c>
      <c r="B322" s="207" t="s">
        <v>391</v>
      </c>
      <c r="C322" s="193"/>
      <c r="D322" s="254">
        <f>D327+D323+D325</f>
        <v>1574000</v>
      </c>
      <c r="E322" s="254">
        <f>E327+E323+E325</f>
        <v>1574000</v>
      </c>
      <c r="F322" s="254">
        <f>F327+F323+F325</f>
        <v>1574000</v>
      </c>
    </row>
    <row r="323" spans="1:6" ht="0.75" customHeight="1" hidden="1">
      <c r="A323" s="196" t="s">
        <v>392</v>
      </c>
      <c r="B323" s="207" t="s">
        <v>393</v>
      </c>
      <c r="C323" s="193"/>
      <c r="D323" s="184">
        <f>D324</f>
        <v>0</v>
      </c>
      <c r="E323" s="184">
        <f>E324</f>
        <v>0</v>
      </c>
      <c r="F323" s="184">
        <f>F324</f>
        <v>0</v>
      </c>
    </row>
    <row r="324" spans="1:6" ht="24.75" customHeight="1" hidden="1">
      <c r="A324" s="192" t="s">
        <v>206</v>
      </c>
      <c r="B324" s="207" t="s">
        <v>393</v>
      </c>
      <c r="C324" s="193" t="s">
        <v>207</v>
      </c>
      <c r="D324" s="184"/>
      <c r="E324" s="254"/>
      <c r="F324" s="254"/>
    </row>
    <row r="325" spans="1:6" ht="39" customHeight="1" hidden="1">
      <c r="A325" s="196" t="s">
        <v>394</v>
      </c>
      <c r="B325" s="207" t="s">
        <v>395</v>
      </c>
      <c r="C325" s="193"/>
      <c r="D325" s="184">
        <f>D326</f>
        <v>0</v>
      </c>
      <c r="E325" s="184">
        <f>E326</f>
        <v>0</v>
      </c>
      <c r="F325" s="184">
        <f>F326</f>
        <v>0</v>
      </c>
    </row>
    <row r="326" spans="1:6" ht="26.25" customHeight="1" hidden="1">
      <c r="A326" s="192" t="s">
        <v>206</v>
      </c>
      <c r="B326" s="207" t="s">
        <v>395</v>
      </c>
      <c r="C326" s="193" t="s">
        <v>207</v>
      </c>
      <c r="D326" s="184"/>
      <c r="E326" s="254"/>
      <c r="F326" s="254"/>
    </row>
    <row r="327" spans="1:6" ht="26.25">
      <c r="A327" s="189" t="s">
        <v>385</v>
      </c>
      <c r="B327" s="207" t="s">
        <v>396</v>
      </c>
      <c r="C327" s="193"/>
      <c r="D327" s="254">
        <f>D328</f>
        <v>1574000</v>
      </c>
      <c r="E327" s="254">
        <f>E328</f>
        <v>1574000</v>
      </c>
      <c r="F327" s="254">
        <f>F328</f>
        <v>1574000</v>
      </c>
    </row>
    <row r="328" spans="1:6" ht="15">
      <c r="A328" s="189" t="s">
        <v>206</v>
      </c>
      <c r="B328" s="207" t="s">
        <v>396</v>
      </c>
      <c r="C328" s="193" t="s">
        <v>207</v>
      </c>
      <c r="D328" s="184">
        <f>1574000</f>
        <v>1574000</v>
      </c>
      <c r="E328" s="184">
        <f>1574000</f>
        <v>1574000</v>
      </c>
      <c r="F328" s="184">
        <f>1574000</f>
        <v>1574000</v>
      </c>
    </row>
    <row r="329" spans="1:10" ht="51">
      <c r="A329" s="197" t="s">
        <v>762</v>
      </c>
      <c r="B329" s="204" t="s">
        <v>750</v>
      </c>
      <c r="C329" s="183"/>
      <c r="D329" s="254">
        <f>D330+D334</f>
        <v>12564264</v>
      </c>
      <c r="E329" s="254">
        <f>E330+E334</f>
        <v>10805687</v>
      </c>
      <c r="F329" s="254">
        <f>F330+F334</f>
        <v>10052011</v>
      </c>
      <c r="H329" s="194"/>
      <c r="I329" s="194"/>
      <c r="J329" s="194"/>
    </row>
    <row r="330" spans="1:6" s="198" customFormat="1" ht="39">
      <c r="A330" s="181" t="s">
        <v>751</v>
      </c>
      <c r="B330" s="204" t="s">
        <v>752</v>
      </c>
      <c r="C330" s="183"/>
      <c r="D330" s="254">
        <f>D331</f>
        <v>3000</v>
      </c>
      <c r="E330" s="254">
        <f aca="true" t="shared" si="27" ref="E330:F332">E331</f>
        <v>3000</v>
      </c>
      <c r="F330" s="254">
        <f t="shared" si="27"/>
        <v>3000</v>
      </c>
    </row>
    <row r="331" spans="1:6" ht="39">
      <c r="A331" s="181" t="s">
        <v>753</v>
      </c>
      <c r="B331" s="204" t="s">
        <v>754</v>
      </c>
      <c r="C331" s="183"/>
      <c r="D331" s="254">
        <f>D332</f>
        <v>3000</v>
      </c>
      <c r="E331" s="254">
        <f t="shared" si="27"/>
        <v>3000</v>
      </c>
      <c r="F331" s="254">
        <f t="shared" si="27"/>
        <v>3000</v>
      </c>
    </row>
    <row r="332" spans="1:6" ht="15">
      <c r="A332" s="187" t="s">
        <v>755</v>
      </c>
      <c r="B332" s="204" t="s">
        <v>756</v>
      </c>
      <c r="C332" s="183"/>
      <c r="D332" s="254">
        <f>D333</f>
        <v>3000</v>
      </c>
      <c r="E332" s="254">
        <f t="shared" si="27"/>
        <v>3000</v>
      </c>
      <c r="F332" s="254">
        <f t="shared" si="27"/>
        <v>3000</v>
      </c>
    </row>
    <row r="333" spans="1:6" ht="15">
      <c r="A333" s="181" t="s">
        <v>757</v>
      </c>
      <c r="B333" s="204" t="s">
        <v>756</v>
      </c>
      <c r="C333" s="183" t="s">
        <v>758</v>
      </c>
      <c r="D333" s="184">
        <v>3000</v>
      </c>
      <c r="E333" s="184">
        <v>3000</v>
      </c>
      <c r="F333" s="184">
        <v>3000</v>
      </c>
    </row>
    <row r="334" spans="1:6" s="198" customFormat="1" ht="60" customHeight="1">
      <c r="A334" s="181" t="s">
        <v>763</v>
      </c>
      <c r="B334" s="182" t="s">
        <v>764</v>
      </c>
      <c r="C334" s="183"/>
      <c r="D334" s="254">
        <f>D335</f>
        <v>12561264</v>
      </c>
      <c r="E334" s="254">
        <f aca="true" t="shared" si="28" ref="E334:F336">E335</f>
        <v>10802687</v>
      </c>
      <c r="F334" s="254">
        <f t="shared" si="28"/>
        <v>10049011</v>
      </c>
    </row>
    <row r="335" spans="1:6" s="198" customFormat="1" ht="36" customHeight="1">
      <c r="A335" s="197" t="s">
        <v>765</v>
      </c>
      <c r="B335" s="182" t="s">
        <v>766</v>
      </c>
      <c r="C335" s="183"/>
      <c r="D335" s="254">
        <f>D336</f>
        <v>12561264</v>
      </c>
      <c r="E335" s="254">
        <f t="shared" si="28"/>
        <v>10802687</v>
      </c>
      <c r="F335" s="254">
        <f t="shared" si="28"/>
        <v>10049011</v>
      </c>
    </row>
    <row r="336" spans="1:6" ht="23.25" customHeight="1">
      <c r="A336" s="197" t="s">
        <v>767</v>
      </c>
      <c r="B336" s="182" t="s">
        <v>768</v>
      </c>
      <c r="C336" s="183"/>
      <c r="D336" s="254">
        <f>D337</f>
        <v>12561264</v>
      </c>
      <c r="E336" s="254">
        <f t="shared" si="28"/>
        <v>10802687</v>
      </c>
      <c r="F336" s="254">
        <f t="shared" si="28"/>
        <v>10049011</v>
      </c>
    </row>
    <row r="337" spans="1:6" s="198" customFormat="1" ht="15">
      <c r="A337" s="282" t="s">
        <v>507</v>
      </c>
      <c r="B337" s="182" t="s">
        <v>768</v>
      </c>
      <c r="C337" s="193" t="s">
        <v>508</v>
      </c>
      <c r="D337" s="184">
        <v>12561264</v>
      </c>
      <c r="E337" s="184">
        <v>10802687</v>
      </c>
      <c r="F337" s="184">
        <v>10049011</v>
      </c>
    </row>
    <row r="338" spans="1:6" ht="25.5">
      <c r="A338" s="273" t="s">
        <v>468</v>
      </c>
      <c r="B338" s="182" t="s">
        <v>469</v>
      </c>
      <c r="C338" s="193"/>
      <c r="D338" s="184">
        <f>D339</f>
        <v>20000</v>
      </c>
      <c r="E338" s="184">
        <f>E339</f>
        <v>20000</v>
      </c>
      <c r="F338" s="184">
        <f>F339</f>
        <v>20000</v>
      </c>
    </row>
    <row r="339" spans="1:6" s="198" customFormat="1" ht="51">
      <c r="A339" s="280" t="s">
        <v>470</v>
      </c>
      <c r="B339" s="182" t="s">
        <v>471</v>
      </c>
      <c r="C339" s="193"/>
      <c r="D339" s="184">
        <f>D340</f>
        <v>20000</v>
      </c>
      <c r="E339" s="184">
        <f aca="true" t="shared" si="29" ref="E339:F341">E340</f>
        <v>20000</v>
      </c>
      <c r="F339" s="184">
        <f t="shared" si="29"/>
        <v>20000</v>
      </c>
    </row>
    <row r="340" spans="1:6" ht="15">
      <c r="A340" s="197" t="s">
        <v>472</v>
      </c>
      <c r="B340" s="182" t="s">
        <v>473</v>
      </c>
      <c r="C340" s="193"/>
      <c r="D340" s="184">
        <f>D341</f>
        <v>20000</v>
      </c>
      <c r="E340" s="184">
        <f t="shared" si="29"/>
        <v>20000</v>
      </c>
      <c r="F340" s="184">
        <f t="shared" si="29"/>
        <v>20000</v>
      </c>
    </row>
    <row r="341" spans="1:6" ht="26.25">
      <c r="A341" s="188" t="s">
        <v>474</v>
      </c>
      <c r="B341" s="182" t="s">
        <v>475</v>
      </c>
      <c r="C341" s="193"/>
      <c r="D341" s="184">
        <f>D342</f>
        <v>20000</v>
      </c>
      <c r="E341" s="184">
        <f t="shared" si="29"/>
        <v>20000</v>
      </c>
      <c r="F341" s="184">
        <f t="shared" si="29"/>
        <v>20000</v>
      </c>
    </row>
    <row r="342" spans="1:6" ht="15">
      <c r="A342" s="189" t="s">
        <v>206</v>
      </c>
      <c r="B342" s="182" t="s">
        <v>475</v>
      </c>
      <c r="C342" s="193" t="s">
        <v>207</v>
      </c>
      <c r="D342" s="184">
        <f>20000</f>
        <v>20000</v>
      </c>
      <c r="E342" s="184">
        <f>20000</f>
        <v>20000</v>
      </c>
      <c r="F342" s="184">
        <f>20000</f>
        <v>20000</v>
      </c>
    </row>
    <row r="343" spans="1:6" ht="29.25" customHeight="1">
      <c r="A343" s="277" t="s">
        <v>600</v>
      </c>
      <c r="B343" s="182" t="s">
        <v>601</v>
      </c>
      <c r="C343" s="193"/>
      <c r="D343" s="254">
        <f>D344</f>
        <v>30000</v>
      </c>
      <c r="E343" s="254">
        <f aca="true" t="shared" si="30" ref="E343:F346">E344</f>
        <v>30000</v>
      </c>
      <c r="F343" s="254">
        <f t="shared" si="30"/>
        <v>30000</v>
      </c>
    </row>
    <row r="344" spans="1:6" ht="45.75" customHeight="1">
      <c r="A344" s="197" t="s">
        <v>602</v>
      </c>
      <c r="B344" s="182" t="s">
        <v>603</v>
      </c>
      <c r="C344" s="193"/>
      <c r="D344" s="254">
        <f>D345</f>
        <v>30000</v>
      </c>
      <c r="E344" s="254">
        <f t="shared" si="30"/>
        <v>30000</v>
      </c>
      <c r="F344" s="254">
        <f t="shared" si="30"/>
        <v>30000</v>
      </c>
    </row>
    <row r="345" spans="1:6" ht="28.5" customHeight="1">
      <c r="A345" s="200" t="s">
        <v>604</v>
      </c>
      <c r="B345" s="182" t="s">
        <v>605</v>
      </c>
      <c r="C345" s="193"/>
      <c r="D345" s="254">
        <f>D346</f>
        <v>30000</v>
      </c>
      <c r="E345" s="254">
        <f t="shared" si="30"/>
        <v>30000</v>
      </c>
      <c r="F345" s="254">
        <f t="shared" si="30"/>
        <v>30000</v>
      </c>
    </row>
    <row r="346" spans="1:6" ht="20.25" customHeight="1">
      <c r="A346" s="200" t="s">
        <v>606</v>
      </c>
      <c r="B346" s="182" t="s">
        <v>607</v>
      </c>
      <c r="C346" s="193"/>
      <c r="D346" s="254">
        <f>D347</f>
        <v>30000</v>
      </c>
      <c r="E346" s="254">
        <f t="shared" si="30"/>
        <v>30000</v>
      </c>
      <c r="F346" s="254">
        <f t="shared" si="30"/>
        <v>30000</v>
      </c>
    </row>
    <row r="347" spans="1:6" ht="15">
      <c r="A347" s="189" t="s">
        <v>206</v>
      </c>
      <c r="B347" s="182" t="s">
        <v>607</v>
      </c>
      <c r="C347" s="183" t="s">
        <v>207</v>
      </c>
      <c r="D347" s="254">
        <v>30000</v>
      </c>
      <c r="E347" s="254">
        <v>30000</v>
      </c>
      <c r="F347" s="254">
        <v>30000</v>
      </c>
    </row>
    <row r="348" spans="1:6" ht="24.75" customHeight="1">
      <c r="A348" s="192" t="s">
        <v>343</v>
      </c>
      <c r="B348" s="207" t="s">
        <v>344</v>
      </c>
      <c r="C348" s="183"/>
      <c r="D348" s="184">
        <f>D349</f>
        <v>200000</v>
      </c>
      <c r="E348" s="184">
        <f>E349</f>
        <v>200000</v>
      </c>
      <c r="F348" s="184">
        <f>F349</f>
        <v>200000</v>
      </c>
    </row>
    <row r="349" spans="1:6" ht="57.75" customHeight="1">
      <c r="A349" s="200" t="s">
        <v>351</v>
      </c>
      <c r="B349" s="207" t="s">
        <v>352</v>
      </c>
      <c r="C349" s="183"/>
      <c r="D349" s="184">
        <f>D350</f>
        <v>200000</v>
      </c>
      <c r="E349" s="184">
        <f aca="true" t="shared" si="31" ref="E349:F351">E350</f>
        <v>200000</v>
      </c>
      <c r="F349" s="184">
        <f t="shared" si="31"/>
        <v>200000</v>
      </c>
    </row>
    <row r="350" spans="1:6" ht="19.5" customHeight="1">
      <c r="A350" s="200" t="s">
        <v>353</v>
      </c>
      <c r="B350" s="207" t="s">
        <v>354</v>
      </c>
      <c r="C350" s="183"/>
      <c r="D350" s="184">
        <f>D351</f>
        <v>200000</v>
      </c>
      <c r="E350" s="184">
        <f t="shared" si="31"/>
        <v>200000</v>
      </c>
      <c r="F350" s="184">
        <f t="shared" si="31"/>
        <v>200000</v>
      </c>
    </row>
    <row r="351" spans="1:6" ht="15">
      <c r="A351" s="200" t="s">
        <v>355</v>
      </c>
      <c r="B351" s="207" t="s">
        <v>356</v>
      </c>
      <c r="C351" s="183"/>
      <c r="D351" s="184">
        <f>D352</f>
        <v>200000</v>
      </c>
      <c r="E351" s="184">
        <f t="shared" si="31"/>
        <v>200000</v>
      </c>
      <c r="F351" s="184">
        <f t="shared" si="31"/>
        <v>200000</v>
      </c>
    </row>
    <row r="352" spans="1:6" ht="15">
      <c r="A352" s="189" t="s">
        <v>206</v>
      </c>
      <c r="B352" s="207" t="s">
        <v>356</v>
      </c>
      <c r="C352" s="183" t="s">
        <v>207</v>
      </c>
      <c r="D352" s="184">
        <f>200000</f>
        <v>200000</v>
      </c>
      <c r="E352" s="184">
        <f>200000</f>
        <v>200000</v>
      </c>
      <c r="F352" s="184">
        <f>200000</f>
        <v>200000</v>
      </c>
    </row>
    <row r="353" spans="1:10" ht="15">
      <c r="A353" s="189" t="s">
        <v>188</v>
      </c>
      <c r="B353" s="190" t="s">
        <v>189</v>
      </c>
      <c r="C353" s="183"/>
      <c r="D353" s="254">
        <f>D354</f>
        <v>1281500</v>
      </c>
      <c r="E353" s="254">
        <f aca="true" t="shared" si="32" ref="E353:F355">E354</f>
        <v>1060523</v>
      </c>
      <c r="F353" s="254">
        <f t="shared" si="32"/>
        <v>1081782</v>
      </c>
      <c r="H353" s="194"/>
      <c r="I353" s="194"/>
      <c r="J353" s="194"/>
    </row>
    <row r="354" spans="1:6" s="198" customFormat="1" ht="15">
      <c r="A354" s="187" t="s">
        <v>190</v>
      </c>
      <c r="B354" s="190" t="s">
        <v>191</v>
      </c>
      <c r="C354" s="183"/>
      <c r="D354" s="254">
        <f>D355</f>
        <v>1281500</v>
      </c>
      <c r="E354" s="254">
        <f t="shared" si="32"/>
        <v>1060523</v>
      </c>
      <c r="F354" s="254">
        <f t="shared" si="32"/>
        <v>1081782</v>
      </c>
    </row>
    <row r="355" spans="1:6" ht="15">
      <c r="A355" s="188" t="s">
        <v>192</v>
      </c>
      <c r="B355" s="190" t="s">
        <v>193</v>
      </c>
      <c r="C355" s="183"/>
      <c r="D355" s="254">
        <f>D356</f>
        <v>1281500</v>
      </c>
      <c r="E355" s="254">
        <f t="shared" si="32"/>
        <v>1060523</v>
      </c>
      <c r="F355" s="254">
        <f t="shared" si="32"/>
        <v>1081782</v>
      </c>
    </row>
    <row r="356" spans="1:6" ht="39">
      <c r="A356" s="189" t="s">
        <v>194</v>
      </c>
      <c r="B356" s="190" t="s">
        <v>193</v>
      </c>
      <c r="C356" s="193" t="s">
        <v>195</v>
      </c>
      <c r="D356" s="184">
        <v>1281500</v>
      </c>
      <c r="E356" s="184">
        <v>1060523</v>
      </c>
      <c r="F356" s="184">
        <v>1081782</v>
      </c>
    </row>
    <row r="357" spans="1:10" ht="15" customHeight="1">
      <c r="A357" s="189" t="s">
        <v>237</v>
      </c>
      <c r="B357" s="182" t="s">
        <v>238</v>
      </c>
      <c r="C357" s="183"/>
      <c r="D357" s="254">
        <f>D358</f>
        <v>16166600</v>
      </c>
      <c r="E357" s="254">
        <f>E358</f>
        <v>13035238</v>
      </c>
      <c r="F357" s="254">
        <f>F358</f>
        <v>13295820</v>
      </c>
      <c r="H357" s="194"/>
      <c r="I357" s="194"/>
      <c r="J357" s="194"/>
    </row>
    <row r="358" spans="1:6" s="198" customFormat="1" ht="18" customHeight="1">
      <c r="A358" s="188" t="s">
        <v>239</v>
      </c>
      <c r="B358" s="182" t="s">
        <v>240</v>
      </c>
      <c r="C358" s="183"/>
      <c r="D358" s="254">
        <f>D363+D361+D359</f>
        <v>16166600</v>
      </c>
      <c r="E358" s="254">
        <f>E363+E361+E359</f>
        <v>13035238</v>
      </c>
      <c r="F358" s="254">
        <f>F363+F361+F359</f>
        <v>13295820</v>
      </c>
    </row>
    <row r="359" spans="1:6" s="198" customFormat="1" ht="39">
      <c r="A359" s="188" t="s">
        <v>241</v>
      </c>
      <c r="B359" s="182" t="s">
        <v>242</v>
      </c>
      <c r="C359" s="183"/>
      <c r="D359" s="184">
        <f>D360</f>
        <v>12000</v>
      </c>
      <c r="E359" s="184">
        <f>E360</f>
        <v>0</v>
      </c>
      <c r="F359" s="184">
        <f>F360</f>
        <v>0</v>
      </c>
    </row>
    <row r="360" spans="1:6" s="198" customFormat="1" ht="39">
      <c r="A360" s="189" t="s">
        <v>194</v>
      </c>
      <c r="B360" s="182" t="s">
        <v>242</v>
      </c>
      <c r="C360" s="183" t="s">
        <v>195</v>
      </c>
      <c r="D360" s="184">
        <v>12000</v>
      </c>
      <c r="E360" s="184">
        <v>0</v>
      </c>
      <c r="F360" s="184">
        <v>0</v>
      </c>
    </row>
    <row r="361" spans="1:6" ht="25.5">
      <c r="A361" s="191" t="s">
        <v>357</v>
      </c>
      <c r="B361" s="182" t="s">
        <v>358</v>
      </c>
      <c r="C361" s="210"/>
      <c r="D361" s="184">
        <f>D362</f>
        <v>410800</v>
      </c>
      <c r="E361" s="184">
        <f>E362</f>
        <v>0</v>
      </c>
      <c r="F361" s="184">
        <f>F362</f>
        <v>0</v>
      </c>
    </row>
    <row r="362" spans="1:6" ht="39">
      <c r="A362" s="189" t="s">
        <v>194</v>
      </c>
      <c r="B362" s="182" t="s">
        <v>358</v>
      </c>
      <c r="C362" s="210" t="s">
        <v>195</v>
      </c>
      <c r="D362" s="184">
        <v>410800</v>
      </c>
      <c r="E362" s="184">
        <v>0</v>
      </c>
      <c r="F362" s="184">
        <v>0</v>
      </c>
    </row>
    <row r="363" spans="1:6" ht="27.75" customHeight="1">
      <c r="A363" s="188" t="s">
        <v>192</v>
      </c>
      <c r="B363" s="182" t="s">
        <v>243</v>
      </c>
      <c r="C363" s="183"/>
      <c r="D363" s="254">
        <f>D364+D365+D366</f>
        <v>15743800</v>
      </c>
      <c r="E363" s="254">
        <f>E364+E365+E366</f>
        <v>13035238</v>
      </c>
      <c r="F363" s="254">
        <f>F364+F365+F366</f>
        <v>13295820</v>
      </c>
    </row>
    <row r="364" spans="1:6" ht="39">
      <c r="A364" s="189" t="s">
        <v>194</v>
      </c>
      <c r="B364" s="182" t="s">
        <v>243</v>
      </c>
      <c r="C364" s="193" t="s">
        <v>195</v>
      </c>
      <c r="D364" s="184">
        <f>15707600</f>
        <v>15707600</v>
      </c>
      <c r="E364" s="184">
        <v>12999038</v>
      </c>
      <c r="F364" s="184">
        <v>13259620</v>
      </c>
    </row>
    <row r="365" spans="1:6" ht="16.5" customHeight="1">
      <c r="A365" s="189" t="s">
        <v>206</v>
      </c>
      <c r="B365" s="182" t="s">
        <v>243</v>
      </c>
      <c r="C365" s="193" t="s">
        <v>207</v>
      </c>
      <c r="D365" s="201">
        <f>36200</f>
        <v>36200</v>
      </c>
      <c r="E365" s="201">
        <f>36200</f>
        <v>36200</v>
      </c>
      <c r="F365" s="201">
        <f>36200</f>
        <v>36200</v>
      </c>
    </row>
    <row r="366" spans="1:6" ht="15" hidden="1">
      <c r="A366" s="223" t="s">
        <v>244</v>
      </c>
      <c r="B366" s="182" t="s">
        <v>243</v>
      </c>
      <c r="C366" s="193" t="s">
        <v>245</v>
      </c>
      <c r="D366" s="184"/>
      <c r="E366" s="184"/>
      <c r="F366" s="184"/>
    </row>
    <row r="367" spans="1:10" ht="15">
      <c r="A367" s="189" t="s">
        <v>263</v>
      </c>
      <c r="B367" s="204" t="s">
        <v>264</v>
      </c>
      <c r="C367" s="193"/>
      <c r="D367" s="254">
        <f aca="true" t="shared" si="33" ref="D367:F369">D368</f>
        <v>427600</v>
      </c>
      <c r="E367" s="254">
        <f t="shared" si="33"/>
        <v>353866</v>
      </c>
      <c r="F367" s="254">
        <f t="shared" si="33"/>
        <v>360960</v>
      </c>
      <c r="H367" s="194"/>
      <c r="I367" s="194"/>
      <c r="J367" s="194"/>
    </row>
    <row r="368" spans="1:6" s="198" customFormat="1" ht="17.25" customHeight="1">
      <c r="A368" s="189" t="s">
        <v>265</v>
      </c>
      <c r="B368" s="204" t="s">
        <v>266</v>
      </c>
      <c r="C368" s="193"/>
      <c r="D368" s="254">
        <f t="shared" si="33"/>
        <v>427600</v>
      </c>
      <c r="E368" s="254">
        <f t="shared" si="33"/>
        <v>353866</v>
      </c>
      <c r="F368" s="254">
        <f t="shared" si="33"/>
        <v>360960</v>
      </c>
    </row>
    <row r="369" spans="1:6" ht="15">
      <c r="A369" s="188" t="s">
        <v>192</v>
      </c>
      <c r="B369" s="204" t="s">
        <v>267</v>
      </c>
      <c r="C369" s="183"/>
      <c r="D369" s="254">
        <f>D370</f>
        <v>427600</v>
      </c>
      <c r="E369" s="254">
        <f t="shared" si="33"/>
        <v>353866</v>
      </c>
      <c r="F369" s="254">
        <f t="shared" si="33"/>
        <v>360960</v>
      </c>
    </row>
    <row r="370" spans="1:6" ht="39">
      <c r="A370" s="189" t="s">
        <v>194</v>
      </c>
      <c r="B370" s="204" t="s">
        <v>267</v>
      </c>
      <c r="C370" s="193" t="s">
        <v>195</v>
      </c>
      <c r="D370" s="184">
        <f>427600</f>
        <v>427600</v>
      </c>
      <c r="E370" s="184">
        <v>353866</v>
      </c>
      <c r="F370" s="184">
        <v>360960</v>
      </c>
    </row>
    <row r="371" spans="1:10" ht="19.5" customHeight="1">
      <c r="A371" s="192" t="s">
        <v>198</v>
      </c>
      <c r="B371" s="190" t="s">
        <v>199</v>
      </c>
      <c r="C371" s="183"/>
      <c r="D371" s="254">
        <f>D372+D375</f>
        <v>1390300</v>
      </c>
      <c r="E371" s="254">
        <f>E372+E375</f>
        <v>1150561</v>
      </c>
      <c r="F371" s="254">
        <f>F372+F375</f>
        <v>1173626</v>
      </c>
      <c r="H371" s="194"/>
      <c r="I371" s="194"/>
      <c r="J371" s="194"/>
    </row>
    <row r="372" spans="1:6" s="198" customFormat="1" ht="19.5" customHeight="1">
      <c r="A372" s="187" t="s">
        <v>200</v>
      </c>
      <c r="B372" s="190" t="s">
        <v>201</v>
      </c>
      <c r="C372" s="183"/>
      <c r="D372" s="254">
        <f aca="true" t="shared" si="34" ref="D372:F373">D373</f>
        <v>722300</v>
      </c>
      <c r="E372" s="254">
        <f t="shared" si="34"/>
        <v>597749</v>
      </c>
      <c r="F372" s="254">
        <f t="shared" si="34"/>
        <v>609732</v>
      </c>
    </row>
    <row r="373" spans="1:6" ht="16.5" customHeight="1">
      <c r="A373" s="191" t="s">
        <v>192</v>
      </c>
      <c r="B373" s="190" t="s">
        <v>202</v>
      </c>
      <c r="C373" s="193"/>
      <c r="D373" s="254">
        <f t="shared" si="34"/>
        <v>722300</v>
      </c>
      <c r="E373" s="254">
        <f t="shared" si="34"/>
        <v>597749</v>
      </c>
      <c r="F373" s="254">
        <f t="shared" si="34"/>
        <v>609732</v>
      </c>
    </row>
    <row r="374" spans="1:6" ht="39.75" customHeight="1">
      <c r="A374" s="189" t="s">
        <v>194</v>
      </c>
      <c r="B374" s="190" t="s">
        <v>202</v>
      </c>
      <c r="C374" s="193" t="s">
        <v>195</v>
      </c>
      <c r="D374" s="184">
        <f>722300</f>
        <v>722300</v>
      </c>
      <c r="E374" s="184">
        <v>597749</v>
      </c>
      <c r="F374" s="184">
        <v>609732</v>
      </c>
    </row>
    <row r="375" spans="1:6" s="198" customFormat="1" ht="20.25" customHeight="1">
      <c r="A375" s="199" t="s">
        <v>203</v>
      </c>
      <c r="B375" s="190" t="s">
        <v>204</v>
      </c>
      <c r="C375" s="193"/>
      <c r="D375" s="254">
        <f aca="true" t="shared" si="35" ref="D375:F376">D376</f>
        <v>668000</v>
      </c>
      <c r="E375" s="254">
        <f t="shared" si="35"/>
        <v>552812</v>
      </c>
      <c r="F375" s="254">
        <f t="shared" si="35"/>
        <v>563894</v>
      </c>
    </row>
    <row r="376" spans="1:6" ht="18" customHeight="1">
      <c r="A376" s="191" t="s">
        <v>192</v>
      </c>
      <c r="B376" s="190" t="s">
        <v>205</v>
      </c>
      <c r="C376" s="193"/>
      <c r="D376" s="254">
        <f t="shared" si="35"/>
        <v>668000</v>
      </c>
      <c r="E376" s="254">
        <f t="shared" si="35"/>
        <v>552812</v>
      </c>
      <c r="F376" s="254">
        <f t="shared" si="35"/>
        <v>563894</v>
      </c>
    </row>
    <row r="377" spans="1:6" ht="38.25" customHeight="1">
      <c r="A377" s="189" t="s">
        <v>194</v>
      </c>
      <c r="B377" s="190" t="s">
        <v>205</v>
      </c>
      <c r="C377" s="193" t="s">
        <v>195</v>
      </c>
      <c r="D377" s="184">
        <f>668000</f>
        <v>668000</v>
      </c>
      <c r="E377" s="184">
        <v>552812</v>
      </c>
      <c r="F377" s="184">
        <v>563894</v>
      </c>
    </row>
    <row r="378" spans="1:10" ht="18" customHeight="1">
      <c r="A378" s="192" t="s">
        <v>359</v>
      </c>
      <c r="B378" s="190" t="s">
        <v>360</v>
      </c>
      <c r="C378" s="210"/>
      <c r="D378" s="254">
        <f aca="true" t="shared" si="36" ref="D378:F379">D379</f>
        <v>3336199</v>
      </c>
      <c r="E378" s="254">
        <f t="shared" si="36"/>
        <v>1112857</v>
      </c>
      <c r="F378" s="254">
        <f t="shared" si="36"/>
        <v>3704349</v>
      </c>
      <c r="H378" s="194"/>
      <c r="I378" s="194"/>
      <c r="J378" s="194"/>
    </row>
    <row r="379" spans="1:6" s="198" customFormat="1" ht="17.25" customHeight="1">
      <c r="A379" s="189" t="s">
        <v>361</v>
      </c>
      <c r="B379" s="190" t="s">
        <v>362</v>
      </c>
      <c r="C379" s="210"/>
      <c r="D379" s="254">
        <f t="shared" si="36"/>
        <v>3336199</v>
      </c>
      <c r="E379" s="254">
        <f t="shared" si="36"/>
        <v>1112857</v>
      </c>
      <c r="F379" s="254">
        <f t="shared" si="36"/>
        <v>3704349</v>
      </c>
    </row>
    <row r="380" spans="1:6" ht="17.25" customHeight="1">
      <c r="A380" s="187" t="s">
        <v>355</v>
      </c>
      <c r="B380" s="190" t="s">
        <v>363</v>
      </c>
      <c r="C380" s="210"/>
      <c r="D380" s="254">
        <f>D381+D382</f>
        <v>3336199</v>
      </c>
      <c r="E380" s="254">
        <f>E381+E382</f>
        <v>1112857</v>
      </c>
      <c r="F380" s="254">
        <f>F381+F382</f>
        <v>3704349</v>
      </c>
    </row>
    <row r="381" spans="1:6" ht="15">
      <c r="A381" s="189" t="s">
        <v>252</v>
      </c>
      <c r="B381" s="190" t="s">
        <v>363</v>
      </c>
      <c r="C381" s="210" t="s">
        <v>207</v>
      </c>
      <c r="D381" s="184">
        <v>386561</v>
      </c>
      <c r="E381" s="184">
        <v>111357</v>
      </c>
      <c r="F381" s="184">
        <v>102849</v>
      </c>
    </row>
    <row r="382" spans="1:6" ht="17.25" customHeight="1">
      <c r="A382" s="199" t="s">
        <v>274</v>
      </c>
      <c r="B382" s="190" t="s">
        <v>363</v>
      </c>
      <c r="C382" s="210" t="s">
        <v>275</v>
      </c>
      <c r="D382" s="184">
        <v>2949638</v>
      </c>
      <c r="E382" s="184">
        <v>1001500</v>
      </c>
      <c r="F382" s="184">
        <v>3601500</v>
      </c>
    </row>
    <row r="383" spans="1:10" ht="18.75" customHeight="1">
      <c r="A383" s="187" t="s">
        <v>246</v>
      </c>
      <c r="B383" s="204" t="s">
        <v>247</v>
      </c>
      <c r="C383" s="193"/>
      <c r="D383" s="254">
        <f>D384+D391+D406</f>
        <v>14207693</v>
      </c>
      <c r="E383" s="254">
        <f>E384+E391+E406</f>
        <v>12770989</v>
      </c>
      <c r="F383" s="254">
        <f>F384+F391+F406</f>
        <v>12953063</v>
      </c>
      <c r="H383" s="194"/>
      <c r="I383" s="194"/>
      <c r="J383" s="194"/>
    </row>
    <row r="384" spans="1:6" s="198" customFormat="1" ht="30" customHeight="1">
      <c r="A384" s="197" t="s">
        <v>248</v>
      </c>
      <c r="B384" s="182" t="s">
        <v>249</v>
      </c>
      <c r="C384" s="183"/>
      <c r="D384" s="254">
        <f>D388+D385</f>
        <v>1434100</v>
      </c>
      <c r="E384" s="254">
        <f>E388+E385</f>
        <v>1486100</v>
      </c>
      <c r="F384" s="254">
        <f>F388+F385</f>
        <v>1528100</v>
      </c>
    </row>
    <row r="385" spans="1:6" s="198" customFormat="1" ht="26.25">
      <c r="A385" s="188" t="s">
        <v>364</v>
      </c>
      <c r="B385" s="204" t="s">
        <v>365</v>
      </c>
      <c r="C385" s="193"/>
      <c r="D385" s="184">
        <f>D386+D387</f>
        <v>1086000</v>
      </c>
      <c r="E385" s="184">
        <f>E386+E387</f>
        <v>1138000</v>
      </c>
      <c r="F385" s="184">
        <f>F386+F387</f>
        <v>1180000</v>
      </c>
    </row>
    <row r="386" spans="1:6" s="198" customFormat="1" ht="39">
      <c r="A386" s="189" t="s">
        <v>194</v>
      </c>
      <c r="B386" s="204" t="s">
        <v>365</v>
      </c>
      <c r="C386" s="193" t="s">
        <v>195</v>
      </c>
      <c r="D386" s="184">
        <v>964600</v>
      </c>
      <c r="E386" s="184">
        <v>964600</v>
      </c>
      <c r="F386" s="184">
        <v>964600</v>
      </c>
    </row>
    <row r="387" spans="1:6" s="198" customFormat="1" ht="15">
      <c r="A387" s="189" t="s">
        <v>206</v>
      </c>
      <c r="B387" s="204" t="s">
        <v>365</v>
      </c>
      <c r="C387" s="193" t="s">
        <v>207</v>
      </c>
      <c r="D387" s="184">
        <v>121400</v>
      </c>
      <c r="E387" s="184">
        <v>173400</v>
      </c>
      <c r="F387" s="184">
        <v>215400</v>
      </c>
    </row>
    <row r="388" spans="1:6" ht="19.5" customHeight="1">
      <c r="A388" s="188" t="s">
        <v>250</v>
      </c>
      <c r="B388" s="182" t="s">
        <v>251</v>
      </c>
      <c r="C388" s="183"/>
      <c r="D388" s="254">
        <f>D389+D390</f>
        <v>348100</v>
      </c>
      <c r="E388" s="254">
        <f>E389+E390</f>
        <v>348100</v>
      </c>
      <c r="F388" s="254">
        <f>F389+F390</f>
        <v>348100</v>
      </c>
    </row>
    <row r="389" spans="1:6" ht="33.75" customHeight="1">
      <c r="A389" s="189" t="s">
        <v>194</v>
      </c>
      <c r="B389" s="182" t="s">
        <v>251</v>
      </c>
      <c r="C389" s="193" t="s">
        <v>195</v>
      </c>
      <c r="D389" s="184">
        <v>348100</v>
      </c>
      <c r="E389" s="184">
        <v>348100</v>
      </c>
      <c r="F389" s="184">
        <v>348100</v>
      </c>
    </row>
    <row r="390" spans="1:6" ht="0.75" customHeight="1" hidden="1">
      <c r="A390" s="189" t="s">
        <v>252</v>
      </c>
      <c r="B390" s="182" t="s">
        <v>251</v>
      </c>
      <c r="C390" s="193" t="s">
        <v>207</v>
      </c>
      <c r="D390" s="184"/>
      <c r="E390" s="184"/>
      <c r="F390" s="184"/>
    </row>
    <row r="391" spans="1:6" ht="18" customHeight="1">
      <c r="A391" s="189" t="s">
        <v>253</v>
      </c>
      <c r="B391" s="182" t="s">
        <v>254</v>
      </c>
      <c r="C391" s="193"/>
      <c r="D391" s="254">
        <f>D392+D394+D396+D402+D404+D398</f>
        <v>12773593</v>
      </c>
      <c r="E391" s="254">
        <f>E392+E394+E396+E402+E404+E398</f>
        <v>11284889</v>
      </c>
      <c r="F391" s="254">
        <f>F392+F394+F396+F402+F404+F398</f>
        <v>11424963</v>
      </c>
    </row>
    <row r="392" spans="1:6" ht="36.75" customHeight="1">
      <c r="A392" s="202" t="s">
        <v>690</v>
      </c>
      <c r="B392" s="182" t="s">
        <v>691</v>
      </c>
      <c r="C392" s="183"/>
      <c r="D392" s="254">
        <f>D393</f>
        <v>944546</v>
      </c>
      <c r="E392" s="254">
        <f>E393</f>
        <v>944546</v>
      </c>
      <c r="F392" s="254">
        <f>F393</f>
        <v>944546</v>
      </c>
    </row>
    <row r="393" spans="1:6" ht="26.25" customHeight="1">
      <c r="A393" s="189" t="s">
        <v>206</v>
      </c>
      <c r="B393" s="182" t="s">
        <v>691</v>
      </c>
      <c r="C393" s="193" t="s">
        <v>207</v>
      </c>
      <c r="D393" s="184">
        <v>944546</v>
      </c>
      <c r="E393" s="184">
        <v>944546</v>
      </c>
      <c r="F393" s="184">
        <v>944546</v>
      </c>
    </row>
    <row r="394" spans="1:6" ht="44.25" customHeight="1">
      <c r="A394" s="202" t="s">
        <v>255</v>
      </c>
      <c r="B394" s="182" t="s">
        <v>256</v>
      </c>
      <c r="C394" s="183"/>
      <c r="D394" s="254">
        <f>D395</f>
        <v>34810</v>
      </c>
      <c r="E394" s="254">
        <f>E395</f>
        <v>34810</v>
      </c>
      <c r="F394" s="254">
        <f>F395</f>
        <v>34810</v>
      </c>
    </row>
    <row r="395" spans="1:6" ht="15">
      <c r="A395" s="189" t="s">
        <v>206</v>
      </c>
      <c r="B395" s="182" t="s">
        <v>256</v>
      </c>
      <c r="C395" s="193" t="s">
        <v>195</v>
      </c>
      <c r="D395" s="184">
        <v>34810</v>
      </c>
      <c r="E395" s="184">
        <v>34810</v>
      </c>
      <c r="F395" s="184">
        <v>34810</v>
      </c>
    </row>
    <row r="396" spans="1:6" ht="26.25">
      <c r="A396" s="274" t="s">
        <v>259</v>
      </c>
      <c r="B396" s="182" t="s">
        <v>260</v>
      </c>
      <c r="C396" s="193"/>
      <c r="D396" s="254">
        <f>D397</f>
        <v>2737</v>
      </c>
      <c r="E396" s="254">
        <f>E397</f>
        <v>0</v>
      </c>
      <c r="F396" s="254">
        <f>F397</f>
        <v>0</v>
      </c>
    </row>
    <row r="397" spans="1:6" ht="15">
      <c r="A397" s="189" t="s">
        <v>252</v>
      </c>
      <c r="B397" s="182" t="s">
        <v>260</v>
      </c>
      <c r="C397" s="193" t="s">
        <v>207</v>
      </c>
      <c r="D397" s="184">
        <v>2737</v>
      </c>
      <c r="E397" s="254">
        <v>0</v>
      </c>
      <c r="F397" s="254">
        <v>0</v>
      </c>
    </row>
    <row r="398" spans="1:6" ht="15">
      <c r="A398" s="199" t="s">
        <v>366</v>
      </c>
      <c r="B398" s="182" t="s">
        <v>367</v>
      </c>
      <c r="C398" s="193"/>
      <c r="D398" s="184">
        <f>D399+D400+D401</f>
        <v>11541500</v>
      </c>
      <c r="E398" s="184">
        <f>E399+E400+E401</f>
        <v>10055533</v>
      </c>
      <c r="F398" s="184">
        <f>F399+F400+F401</f>
        <v>10195607</v>
      </c>
    </row>
    <row r="399" spans="1:6" ht="38.25">
      <c r="A399" s="192" t="s">
        <v>194</v>
      </c>
      <c r="B399" s="182" t="s">
        <v>367</v>
      </c>
      <c r="C399" s="193" t="s">
        <v>195</v>
      </c>
      <c r="D399" s="184">
        <f>8443500</f>
        <v>8443500</v>
      </c>
      <c r="E399" s="184">
        <f>6987533-30000</f>
        <v>6957533</v>
      </c>
      <c r="F399" s="184">
        <f>7127607-30000</f>
        <v>7097607</v>
      </c>
    </row>
    <row r="400" spans="1:6" ht="15">
      <c r="A400" s="192" t="s">
        <v>206</v>
      </c>
      <c r="B400" s="182" t="s">
        <v>367</v>
      </c>
      <c r="C400" s="193" t="s">
        <v>207</v>
      </c>
      <c r="D400" s="184">
        <f>3048000</f>
        <v>3048000</v>
      </c>
      <c r="E400" s="184">
        <f>3048000</f>
        <v>3048000</v>
      </c>
      <c r="F400" s="184">
        <f>3048000</f>
        <v>3048000</v>
      </c>
    </row>
    <row r="401" spans="1:6" ht="15">
      <c r="A401" s="199" t="s">
        <v>274</v>
      </c>
      <c r="B401" s="182" t="s">
        <v>367</v>
      </c>
      <c r="C401" s="193" t="s">
        <v>275</v>
      </c>
      <c r="D401" s="184">
        <f>50000</f>
        <v>50000</v>
      </c>
      <c r="E401" s="184">
        <f>50000</f>
        <v>50000</v>
      </c>
      <c r="F401" s="184">
        <f>50000</f>
        <v>50000</v>
      </c>
    </row>
    <row r="402" spans="1:6" ht="15">
      <c r="A402" s="273" t="s">
        <v>368</v>
      </c>
      <c r="B402" s="182" t="s">
        <v>369</v>
      </c>
      <c r="C402" s="193"/>
      <c r="D402" s="254">
        <f>D403</f>
        <v>250000</v>
      </c>
      <c r="E402" s="254">
        <f>E403</f>
        <v>250000</v>
      </c>
      <c r="F402" s="254">
        <f>F403</f>
        <v>250000</v>
      </c>
    </row>
    <row r="403" spans="1:6" ht="17.25" customHeight="1">
      <c r="A403" s="189" t="s">
        <v>206</v>
      </c>
      <c r="B403" s="182" t="s">
        <v>369</v>
      </c>
      <c r="C403" s="193" t="s">
        <v>207</v>
      </c>
      <c r="D403" s="184">
        <f>100000+150000</f>
        <v>250000</v>
      </c>
      <c r="E403" s="184">
        <f>100000+150000</f>
        <v>250000</v>
      </c>
      <c r="F403" s="184">
        <f>100000+150000</f>
        <v>250000</v>
      </c>
    </row>
    <row r="404" spans="1:6" ht="15" hidden="1">
      <c r="A404" s="189" t="s">
        <v>448</v>
      </c>
      <c r="B404" s="182" t="s">
        <v>850</v>
      </c>
      <c r="C404" s="193" t="s">
        <v>207</v>
      </c>
      <c r="D404" s="254">
        <f>D405</f>
        <v>0</v>
      </c>
      <c r="E404" s="254">
        <f>E405</f>
        <v>0</v>
      </c>
      <c r="F404" s="254">
        <f>F405</f>
        <v>0</v>
      </c>
    </row>
    <row r="405" spans="1:6" ht="15" hidden="1">
      <c r="A405" s="189" t="s">
        <v>206</v>
      </c>
      <c r="B405" s="182" t="s">
        <v>850</v>
      </c>
      <c r="C405" s="193" t="s">
        <v>207</v>
      </c>
      <c r="D405" s="254"/>
      <c r="E405" s="254"/>
      <c r="F405" s="254"/>
    </row>
    <row r="406" spans="1:6" s="198" customFormat="1" ht="15" hidden="1">
      <c r="A406" s="223" t="s">
        <v>270</v>
      </c>
      <c r="B406" s="182" t="s">
        <v>271</v>
      </c>
      <c r="C406" s="183"/>
      <c r="D406" s="254">
        <f aca="true" t="shared" si="37" ref="D406:F407">D407</f>
        <v>0</v>
      </c>
      <c r="E406" s="254">
        <f t="shared" si="37"/>
        <v>0</v>
      </c>
      <c r="F406" s="254">
        <f t="shared" si="37"/>
        <v>0</v>
      </c>
    </row>
    <row r="407" spans="1:6" ht="15" hidden="1">
      <c r="A407" s="187" t="s">
        <v>272</v>
      </c>
      <c r="B407" s="182" t="s">
        <v>851</v>
      </c>
      <c r="C407" s="183"/>
      <c r="D407" s="254">
        <f t="shared" si="37"/>
        <v>0</v>
      </c>
      <c r="E407" s="254">
        <f t="shared" si="37"/>
        <v>0</v>
      </c>
      <c r="F407" s="254">
        <f t="shared" si="37"/>
        <v>0</v>
      </c>
    </row>
    <row r="408" spans="1:6" ht="15" hidden="1">
      <c r="A408" s="189" t="s">
        <v>252</v>
      </c>
      <c r="B408" s="182" t="s">
        <v>851</v>
      </c>
      <c r="C408" s="183" t="s">
        <v>275</v>
      </c>
      <c r="D408" s="254"/>
      <c r="E408" s="254"/>
      <c r="F408" s="254"/>
    </row>
    <row r="409" spans="1:10" ht="15">
      <c r="A409" s="189" t="s">
        <v>278</v>
      </c>
      <c r="B409" s="190" t="s">
        <v>279</v>
      </c>
      <c r="C409" s="206" t="s">
        <v>280</v>
      </c>
      <c r="D409" s="254">
        <f aca="true" t="shared" si="38" ref="D409:F410">D410</f>
        <v>5000000</v>
      </c>
      <c r="E409" s="254">
        <f t="shared" si="38"/>
        <v>100000</v>
      </c>
      <c r="F409" s="254">
        <f t="shared" si="38"/>
        <v>100000</v>
      </c>
      <c r="H409" s="194"/>
      <c r="I409" s="194"/>
      <c r="J409" s="194"/>
    </row>
    <row r="410" spans="1:6" s="198" customFormat="1" ht="15">
      <c r="A410" s="189" t="s">
        <v>276</v>
      </c>
      <c r="B410" s="190" t="s">
        <v>281</v>
      </c>
      <c r="C410" s="206" t="s">
        <v>280</v>
      </c>
      <c r="D410" s="254">
        <f t="shared" si="38"/>
        <v>5000000</v>
      </c>
      <c r="E410" s="254">
        <f t="shared" si="38"/>
        <v>100000</v>
      </c>
      <c r="F410" s="254">
        <f t="shared" si="38"/>
        <v>100000</v>
      </c>
    </row>
    <row r="411" spans="1:6" ht="15" customHeight="1">
      <c r="A411" s="188" t="s">
        <v>282</v>
      </c>
      <c r="B411" s="190" t="s">
        <v>283</v>
      </c>
      <c r="C411" s="206" t="s">
        <v>280</v>
      </c>
      <c r="D411" s="254">
        <f>D414+D412+D413</f>
        <v>5000000</v>
      </c>
      <c r="E411" s="254">
        <f>E414+E412+E413</f>
        <v>100000</v>
      </c>
      <c r="F411" s="254">
        <f>F414+F412+F413</f>
        <v>100000</v>
      </c>
    </row>
    <row r="412" spans="1:6" ht="15" hidden="1">
      <c r="A412" s="188" t="s">
        <v>244</v>
      </c>
      <c r="B412" s="190" t="s">
        <v>283</v>
      </c>
      <c r="C412" s="206">
        <v>300</v>
      </c>
      <c r="D412" s="184"/>
      <c r="E412" s="254"/>
      <c r="F412" s="254"/>
    </row>
    <row r="413" spans="1:6" ht="15" hidden="1">
      <c r="A413" s="282" t="s">
        <v>507</v>
      </c>
      <c r="B413" s="190" t="s">
        <v>283</v>
      </c>
      <c r="C413" s="206">
        <v>500</v>
      </c>
      <c r="D413" s="184"/>
      <c r="E413" s="254"/>
      <c r="F413" s="254"/>
    </row>
    <row r="414" spans="1:6" ht="19.5" customHeight="1">
      <c r="A414" s="189" t="s">
        <v>274</v>
      </c>
      <c r="B414" s="190" t="s">
        <v>283</v>
      </c>
      <c r="C414" s="206" t="s">
        <v>275</v>
      </c>
      <c r="D414" s="184">
        <f>5000000</f>
        <v>5000000</v>
      </c>
      <c r="E414" s="184">
        <v>100000</v>
      </c>
      <c r="F414" s="184">
        <v>100000</v>
      </c>
    </row>
    <row r="415" spans="1:10" ht="25.5">
      <c r="A415" s="192" t="s">
        <v>370</v>
      </c>
      <c r="B415" s="204" t="s">
        <v>371</v>
      </c>
      <c r="C415" s="193"/>
      <c r="D415" s="184">
        <f aca="true" t="shared" si="39" ref="D415:F416">D416</f>
        <v>9408000</v>
      </c>
      <c r="E415" s="184">
        <f t="shared" si="39"/>
        <v>7852278</v>
      </c>
      <c r="F415" s="184">
        <f t="shared" si="39"/>
        <v>8001950</v>
      </c>
      <c r="H415" s="194"/>
      <c r="I415" s="194"/>
      <c r="J415" s="194"/>
    </row>
    <row r="416" spans="1:6" ht="25.5">
      <c r="A416" s="199" t="s">
        <v>372</v>
      </c>
      <c r="B416" s="204" t="s">
        <v>373</v>
      </c>
      <c r="C416" s="193"/>
      <c r="D416" s="184">
        <f t="shared" si="39"/>
        <v>9408000</v>
      </c>
      <c r="E416" s="184">
        <f t="shared" si="39"/>
        <v>7852278</v>
      </c>
      <c r="F416" s="184">
        <f t="shared" si="39"/>
        <v>8001950</v>
      </c>
    </row>
    <row r="417" spans="1:6" ht="15">
      <c r="A417" s="199" t="s">
        <v>366</v>
      </c>
      <c r="B417" s="204" t="s">
        <v>374</v>
      </c>
      <c r="C417" s="193"/>
      <c r="D417" s="184">
        <f>D418+D419+D420</f>
        <v>9408000</v>
      </c>
      <c r="E417" s="184">
        <f>E418+E419+E420</f>
        <v>7852278</v>
      </c>
      <c r="F417" s="184">
        <f>F418+F419+F420</f>
        <v>8001950</v>
      </c>
    </row>
    <row r="418" spans="1:6" ht="38.25">
      <c r="A418" s="192" t="s">
        <v>194</v>
      </c>
      <c r="B418" s="204" t="s">
        <v>374</v>
      </c>
      <c r="C418" s="193" t="s">
        <v>195</v>
      </c>
      <c r="D418" s="184">
        <f>9022000</f>
        <v>9022000</v>
      </c>
      <c r="E418" s="184">
        <v>7466278</v>
      </c>
      <c r="F418" s="184">
        <v>7615950</v>
      </c>
    </row>
    <row r="419" spans="1:6" ht="18.75" customHeight="1">
      <c r="A419" s="192" t="s">
        <v>206</v>
      </c>
      <c r="B419" s="204" t="s">
        <v>374</v>
      </c>
      <c r="C419" s="193" t="s">
        <v>207</v>
      </c>
      <c r="D419" s="184">
        <f>481000-95000</f>
        <v>386000</v>
      </c>
      <c r="E419" s="184">
        <f>481000-95000</f>
        <v>386000</v>
      </c>
      <c r="F419" s="184">
        <f>481000-95000</f>
        <v>386000</v>
      </c>
    </row>
    <row r="420" spans="1:6" ht="15" hidden="1">
      <c r="A420" s="192" t="s">
        <v>274</v>
      </c>
      <c r="B420" s="204" t="s">
        <v>374</v>
      </c>
      <c r="C420" s="193" t="s">
        <v>275</v>
      </c>
      <c r="D420" s="184"/>
      <c r="E420" s="184"/>
      <c r="F420" s="184"/>
    </row>
    <row r="422" spans="8:10" ht="15">
      <c r="H422" s="194"/>
      <c r="I422" s="194"/>
      <c r="J422" s="194"/>
    </row>
  </sheetData>
  <sheetProtection/>
  <mergeCells count="4">
    <mergeCell ref="D2:F2"/>
    <mergeCell ref="D3:F3"/>
    <mergeCell ref="B4:D4"/>
    <mergeCell ref="A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.625" style="0" customWidth="1"/>
    <col min="2" max="2" width="32.125" style="0" customWidth="1"/>
    <col min="3" max="3" width="16.375" style="0" customWidth="1"/>
    <col min="4" max="4" width="13.25390625" style="0" customWidth="1"/>
    <col min="5" max="5" width="13.375" style="0" customWidth="1"/>
  </cols>
  <sheetData>
    <row r="1" spans="2:7" s="1" customFormat="1" ht="12.75">
      <c r="B1" s="29"/>
      <c r="C1" s="29" t="s">
        <v>128</v>
      </c>
      <c r="D1" s="29"/>
      <c r="E1" s="29"/>
      <c r="F1" s="29"/>
      <c r="G1" s="29"/>
    </row>
    <row r="2" spans="2:7" s="1" customFormat="1" ht="12.75">
      <c r="B2" s="29"/>
      <c r="C2" s="29" t="s">
        <v>67</v>
      </c>
      <c r="D2" s="29"/>
      <c r="E2" s="29"/>
      <c r="F2" s="29"/>
      <c r="G2" s="29"/>
    </row>
    <row r="3" spans="2:7" s="1" customFormat="1" ht="16.5" customHeight="1">
      <c r="B3" s="29"/>
      <c r="C3" s="29" t="s">
        <v>68</v>
      </c>
      <c r="D3" s="29"/>
      <c r="E3" s="29"/>
      <c r="F3" s="29"/>
      <c r="G3" s="29"/>
    </row>
    <row r="4" spans="2:7" s="1" customFormat="1" ht="44.25" customHeight="1">
      <c r="B4" s="29"/>
      <c r="C4" s="287" t="s">
        <v>141</v>
      </c>
      <c r="D4" s="287"/>
      <c r="E4" s="287"/>
      <c r="F4" s="29"/>
      <c r="G4" s="30"/>
    </row>
    <row r="5" spans="3:10" s="1" customFormat="1" ht="13.5" customHeight="1">
      <c r="C5" s="29" t="s">
        <v>162</v>
      </c>
      <c r="F5" s="29"/>
      <c r="G5" s="29"/>
      <c r="H5" s="29"/>
      <c r="I5" s="29"/>
      <c r="J5" s="29"/>
    </row>
    <row r="8" spans="1:5" ht="15.75" customHeight="1">
      <c r="A8" s="304" t="s">
        <v>142</v>
      </c>
      <c r="B8" s="304"/>
      <c r="C8" s="304"/>
      <c r="D8" s="304"/>
      <c r="E8" s="304"/>
    </row>
    <row r="9" spans="1:5" ht="36.75" customHeight="1">
      <c r="A9" s="304"/>
      <c r="B9" s="304"/>
      <c r="C9" s="304"/>
      <c r="D9" s="304"/>
      <c r="E9" s="304"/>
    </row>
    <row r="10" spans="1:4" ht="15.75">
      <c r="A10" s="303"/>
      <c r="B10" s="303"/>
      <c r="C10" s="303"/>
      <c r="D10" s="45"/>
    </row>
    <row r="11" spans="1:4" ht="15.75" customHeight="1">
      <c r="A11" s="46"/>
      <c r="B11" s="47"/>
      <c r="C11" s="47"/>
      <c r="D11" s="47"/>
    </row>
    <row r="12" spans="2:3" ht="15.75">
      <c r="B12" s="48"/>
      <c r="C12" s="4" t="s">
        <v>94</v>
      </c>
    </row>
    <row r="13" spans="1:5" ht="63" customHeight="1">
      <c r="A13" s="49" t="s">
        <v>69</v>
      </c>
      <c r="B13" s="49" t="s">
        <v>31</v>
      </c>
      <c r="C13" s="148" t="s">
        <v>126</v>
      </c>
      <c r="D13" s="149" t="s">
        <v>127</v>
      </c>
      <c r="E13" s="149" t="s">
        <v>143</v>
      </c>
    </row>
    <row r="14" spans="1:5" s="51" customFormat="1" ht="13.5" customHeight="1">
      <c r="A14" s="50">
        <v>1</v>
      </c>
      <c r="B14" s="50">
        <v>2</v>
      </c>
      <c r="C14" s="50">
        <v>3</v>
      </c>
      <c r="D14" s="147"/>
      <c r="E14" s="147"/>
    </row>
    <row r="15" spans="1:5" ht="16.5" customHeight="1">
      <c r="A15" s="49">
        <v>1</v>
      </c>
      <c r="B15" s="52" t="s">
        <v>32</v>
      </c>
      <c r="C15" s="49">
        <v>2318455</v>
      </c>
      <c r="D15" s="12">
        <v>1993872</v>
      </c>
      <c r="E15" s="12">
        <v>1854764</v>
      </c>
    </row>
    <row r="16" spans="1:5" ht="16.5" customHeight="1">
      <c r="A16" s="49">
        <v>2</v>
      </c>
      <c r="B16" s="52" t="s">
        <v>33</v>
      </c>
      <c r="C16" s="49">
        <v>1849890</v>
      </c>
      <c r="D16" s="12">
        <v>1590905</v>
      </c>
      <c r="E16" s="12">
        <v>1479912</v>
      </c>
    </row>
    <row r="17" spans="1:5" ht="18.75">
      <c r="A17" s="53">
        <v>3</v>
      </c>
      <c r="B17" s="54" t="s">
        <v>34</v>
      </c>
      <c r="C17" s="49">
        <v>341379</v>
      </c>
      <c r="D17" s="12">
        <v>293586</v>
      </c>
      <c r="E17" s="12">
        <v>273104</v>
      </c>
    </row>
    <row r="18" spans="1:5" ht="18.75">
      <c r="A18" s="49">
        <v>4</v>
      </c>
      <c r="B18" s="54" t="s">
        <v>35</v>
      </c>
      <c r="C18" s="49">
        <v>725903</v>
      </c>
      <c r="D18" s="12">
        <v>624276</v>
      </c>
      <c r="E18" s="12">
        <v>580722</v>
      </c>
    </row>
    <row r="19" spans="1:5" ht="18.75">
      <c r="A19" s="53">
        <v>5</v>
      </c>
      <c r="B19" s="54" t="s">
        <v>36</v>
      </c>
      <c r="C19" s="49">
        <v>1348105</v>
      </c>
      <c r="D19" s="12">
        <v>1159370</v>
      </c>
      <c r="E19" s="12">
        <v>1078484</v>
      </c>
    </row>
    <row r="20" spans="1:5" ht="18.75">
      <c r="A20" s="49">
        <v>6</v>
      </c>
      <c r="B20" s="54" t="s">
        <v>37</v>
      </c>
      <c r="C20" s="49">
        <v>385281</v>
      </c>
      <c r="D20" s="12">
        <v>331342</v>
      </c>
      <c r="E20" s="12">
        <v>308225</v>
      </c>
    </row>
    <row r="21" spans="1:5" ht="18.75">
      <c r="A21" s="49">
        <v>7</v>
      </c>
      <c r="B21" s="54" t="s">
        <v>38</v>
      </c>
      <c r="C21" s="49">
        <v>949199</v>
      </c>
      <c r="D21" s="12">
        <v>816311</v>
      </c>
      <c r="E21" s="12">
        <v>759359</v>
      </c>
    </row>
    <row r="22" spans="1:5" ht="21.75" customHeight="1">
      <c r="A22" s="53">
        <v>8</v>
      </c>
      <c r="B22" s="54" t="s">
        <v>39</v>
      </c>
      <c r="C22" s="49">
        <v>561647</v>
      </c>
      <c r="D22" s="12">
        <v>483017</v>
      </c>
      <c r="E22" s="12">
        <v>449318</v>
      </c>
    </row>
    <row r="23" spans="1:5" ht="21.75" customHeight="1">
      <c r="A23" s="49">
        <v>9</v>
      </c>
      <c r="B23" s="54" t="s">
        <v>40</v>
      </c>
      <c r="C23" s="49">
        <v>1436667</v>
      </c>
      <c r="D23" s="12">
        <v>1235533</v>
      </c>
      <c r="E23" s="12">
        <v>1149333</v>
      </c>
    </row>
    <row r="24" spans="1:5" ht="18.75">
      <c r="A24" s="53">
        <v>10</v>
      </c>
      <c r="B24" s="54" t="s">
        <v>41</v>
      </c>
      <c r="C24" s="49">
        <v>710764</v>
      </c>
      <c r="D24" s="12">
        <v>611257</v>
      </c>
      <c r="E24" s="12">
        <v>568611</v>
      </c>
    </row>
    <row r="25" spans="1:5" ht="36" customHeight="1">
      <c r="A25" s="49">
        <v>11</v>
      </c>
      <c r="B25" s="54" t="s">
        <v>42</v>
      </c>
      <c r="C25" s="49">
        <v>600251</v>
      </c>
      <c r="D25" s="12">
        <v>516216</v>
      </c>
      <c r="E25" s="12">
        <v>480201</v>
      </c>
    </row>
    <row r="26" spans="1:5" ht="21.75" customHeight="1">
      <c r="A26" s="49">
        <v>12</v>
      </c>
      <c r="B26" s="54" t="s">
        <v>43</v>
      </c>
      <c r="C26" s="49">
        <v>790999</v>
      </c>
      <c r="D26" s="12">
        <v>680259</v>
      </c>
      <c r="E26" s="12">
        <v>632799</v>
      </c>
    </row>
    <row r="27" spans="1:5" ht="18.75">
      <c r="A27" s="49">
        <v>13</v>
      </c>
      <c r="B27" s="54" t="s">
        <v>44</v>
      </c>
      <c r="C27" s="158">
        <v>542724</v>
      </c>
      <c r="D27" s="12">
        <v>466743</v>
      </c>
      <c r="E27" s="12">
        <v>434179</v>
      </c>
    </row>
    <row r="28" spans="1:5" ht="18.75">
      <c r="A28" s="55"/>
      <c r="B28" s="56" t="s">
        <v>70</v>
      </c>
      <c r="C28" s="56">
        <f>SUM(C15:C27)</f>
        <v>12561264</v>
      </c>
      <c r="D28" s="56">
        <f>SUM(D15:D27)</f>
        <v>10802687</v>
      </c>
      <c r="E28" s="56">
        <f>SUM(E15:E27)</f>
        <v>10049011</v>
      </c>
    </row>
    <row r="29" ht="15.75">
      <c r="A29" s="48"/>
    </row>
  </sheetData>
  <sheetProtection/>
  <mergeCells count="3">
    <mergeCell ref="A10:C10"/>
    <mergeCell ref="A8:E9"/>
    <mergeCell ref="C4:E4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8">
      <selection activeCell="C5" sqref="C5:E5"/>
    </sheetView>
  </sheetViews>
  <sheetFormatPr defaultColWidth="9.00390625" defaultRowHeight="12.75"/>
  <cols>
    <col min="1" max="1" width="8.25390625" style="28" customWidth="1"/>
    <col min="2" max="2" width="48.25390625" style="28" customWidth="1"/>
    <col min="3" max="3" width="28.00390625" style="28" customWidth="1"/>
    <col min="4" max="4" width="5.75390625" style="28" hidden="1" customWidth="1"/>
    <col min="5" max="5" width="20.625" style="28" customWidth="1"/>
    <col min="6" max="6" width="11.00390625" style="28" customWidth="1"/>
    <col min="7" max="7" width="1.00390625" style="28" customWidth="1"/>
    <col min="8" max="8" width="0.12890625" style="28" customWidth="1"/>
    <col min="9" max="10" width="9.125" style="28" customWidth="1"/>
    <col min="11" max="11" width="12.00390625" style="28" customWidth="1"/>
    <col min="12" max="16384" width="9.125" style="28" customWidth="1"/>
  </cols>
  <sheetData>
    <row r="1" spans="1:7" s="68" customFormat="1" ht="12.75">
      <c r="A1" s="70"/>
      <c r="B1" s="70"/>
      <c r="C1" s="308" t="s">
        <v>129</v>
      </c>
      <c r="D1" s="308"/>
      <c r="E1" s="308"/>
      <c r="F1" s="70"/>
      <c r="G1" s="70"/>
    </row>
    <row r="2" spans="1:7" s="68" customFormat="1" ht="12.75">
      <c r="A2" s="70"/>
      <c r="B2" s="70"/>
      <c r="C2" s="308" t="s">
        <v>67</v>
      </c>
      <c r="D2" s="308"/>
      <c r="E2" s="308"/>
      <c r="F2" s="70"/>
      <c r="G2" s="70"/>
    </row>
    <row r="3" spans="1:7" s="68" customFormat="1" ht="12.75">
      <c r="A3" s="70"/>
      <c r="B3" s="70"/>
      <c r="C3" s="308" t="s">
        <v>68</v>
      </c>
      <c r="D3" s="308"/>
      <c r="E3" s="308"/>
      <c r="F3" s="70"/>
      <c r="G3" s="70"/>
    </row>
    <row r="4" spans="1:7" s="68" customFormat="1" ht="45.75" customHeight="1">
      <c r="A4" s="70"/>
      <c r="B4" s="69"/>
      <c r="C4" s="309" t="s">
        <v>144</v>
      </c>
      <c r="D4" s="309"/>
      <c r="E4" s="309"/>
      <c r="F4" s="70"/>
      <c r="G4" s="71"/>
    </row>
    <row r="5" spans="1:7" s="68" customFormat="1" ht="13.5" customHeight="1">
      <c r="A5" s="70"/>
      <c r="B5" s="70"/>
      <c r="C5" s="291" t="s">
        <v>163</v>
      </c>
      <c r="D5" s="291"/>
      <c r="E5" s="291"/>
      <c r="F5" s="70"/>
      <c r="G5" s="70"/>
    </row>
    <row r="6" spans="2:13" ht="0.75" customHeight="1">
      <c r="B6" s="307" t="s">
        <v>29</v>
      </c>
      <c r="C6" s="307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3:13" ht="12.75"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3:13" ht="0.75" customHeight="1">
      <c r="C8" s="72"/>
      <c r="D8" s="72"/>
      <c r="E8" s="72"/>
      <c r="F8" s="72"/>
      <c r="G8" s="72"/>
      <c r="H8" s="72"/>
      <c r="I8" s="72"/>
      <c r="J8" s="72"/>
      <c r="K8" s="72"/>
      <c r="L8" s="72"/>
      <c r="M8" s="73"/>
    </row>
    <row r="9" spans="2:13" ht="12.75" hidden="1">
      <c r="B9" s="74"/>
      <c r="C9" s="72"/>
      <c r="D9" s="72"/>
      <c r="E9" s="72"/>
      <c r="F9" s="72"/>
      <c r="G9" s="72"/>
      <c r="H9" s="72"/>
      <c r="I9" s="72"/>
      <c r="J9" s="72"/>
      <c r="K9" s="72"/>
      <c r="L9" s="72"/>
      <c r="M9" s="73"/>
    </row>
    <row r="10" spans="3:13" ht="12.75" hidden="1"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3"/>
    </row>
    <row r="11" spans="3:13" ht="12.75" hidden="1"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3"/>
    </row>
    <row r="12" spans="3:13" ht="12.75" hidden="1"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3"/>
    </row>
    <row r="13" spans="3:13" ht="12.75" hidden="1"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1:12" ht="17.25" customHeight="1" hidden="1">
      <c r="A14" s="75"/>
      <c r="B14" s="305"/>
      <c r="C14" s="305"/>
      <c r="D14" s="75"/>
      <c r="E14" s="75"/>
      <c r="F14" s="75"/>
      <c r="G14" s="75"/>
      <c r="H14" s="76"/>
      <c r="I14" s="76"/>
      <c r="J14" s="76"/>
      <c r="K14" s="76"/>
      <c r="L14" s="76"/>
    </row>
    <row r="15" spans="1:12" ht="53.25" customHeight="1">
      <c r="A15" s="75"/>
      <c r="B15" s="306" t="s">
        <v>145</v>
      </c>
      <c r="C15" s="306"/>
      <c r="D15" s="75"/>
      <c r="E15" s="75"/>
      <c r="F15" s="75"/>
      <c r="G15" s="75"/>
      <c r="H15" s="76"/>
      <c r="I15" s="76"/>
      <c r="J15" s="76"/>
      <c r="K15" s="76"/>
      <c r="L15" s="76"/>
    </row>
    <row r="16" spans="1:12" ht="18">
      <c r="A16" s="75"/>
      <c r="B16" s="75"/>
      <c r="C16" s="75"/>
      <c r="D16" s="75"/>
      <c r="E16" s="75"/>
      <c r="F16" s="75"/>
      <c r="G16" s="75"/>
      <c r="H16" s="76"/>
      <c r="I16" s="76"/>
      <c r="J16" s="76"/>
      <c r="K16" s="76"/>
      <c r="L16" s="76"/>
    </row>
    <row r="17" spans="1:12" ht="18">
      <c r="A17" s="77" t="s">
        <v>72</v>
      </c>
      <c r="B17" s="77"/>
      <c r="C17" s="77"/>
      <c r="D17" s="78"/>
      <c r="E17" s="75"/>
      <c r="F17" s="75"/>
      <c r="G17" s="75"/>
      <c r="H17" s="76"/>
      <c r="I17" s="76"/>
      <c r="J17" s="76"/>
      <c r="K17" s="76"/>
      <c r="L17" s="76"/>
    </row>
    <row r="18" spans="1:12" ht="18">
      <c r="A18" s="79"/>
      <c r="B18" s="79"/>
      <c r="C18" s="79"/>
      <c r="D18" s="80"/>
      <c r="E18" s="75"/>
      <c r="F18" s="75"/>
      <c r="G18" s="75"/>
      <c r="H18" s="76"/>
      <c r="I18" s="76"/>
      <c r="J18" s="76"/>
      <c r="K18" s="76"/>
      <c r="L18" s="76"/>
    </row>
    <row r="19" spans="1:12" ht="64.5" customHeight="1">
      <c r="A19" s="81" t="s">
        <v>69</v>
      </c>
      <c r="B19" s="81" t="s">
        <v>107</v>
      </c>
      <c r="C19" s="82" t="s">
        <v>125</v>
      </c>
      <c r="D19" s="80"/>
      <c r="E19" s="85" t="s">
        <v>108</v>
      </c>
      <c r="F19" s="75"/>
      <c r="G19" s="75"/>
      <c r="H19" s="76"/>
      <c r="I19" s="76"/>
      <c r="J19" s="76"/>
      <c r="K19" s="76"/>
      <c r="L19" s="76"/>
    </row>
    <row r="20" spans="1:12" ht="30.75" customHeight="1">
      <c r="A20" s="83" t="s">
        <v>74</v>
      </c>
      <c r="B20" s="84" t="s">
        <v>66</v>
      </c>
      <c r="C20" s="127">
        <v>0</v>
      </c>
      <c r="D20" s="124"/>
      <c r="E20" s="125" t="s">
        <v>111</v>
      </c>
      <c r="F20" s="75"/>
      <c r="G20" s="75"/>
      <c r="H20" s="76"/>
      <c r="I20" s="76"/>
      <c r="J20" s="76"/>
      <c r="K20" s="76"/>
      <c r="L20" s="76"/>
    </row>
    <row r="21" spans="1:7" ht="45.75">
      <c r="A21" s="83" t="s">
        <v>75</v>
      </c>
      <c r="B21" s="85" t="s">
        <v>109</v>
      </c>
      <c r="C21" s="127">
        <v>2600000</v>
      </c>
      <c r="D21" s="124"/>
      <c r="E21" s="125"/>
      <c r="F21" s="75"/>
      <c r="G21" s="75"/>
    </row>
    <row r="22" spans="1:7" ht="28.5" customHeight="1">
      <c r="A22" s="83"/>
      <c r="B22" s="85" t="s">
        <v>110</v>
      </c>
      <c r="C22" s="127">
        <v>2600000</v>
      </c>
      <c r="D22" s="124"/>
      <c r="E22" s="126"/>
      <c r="F22" s="75"/>
      <c r="G22" s="75"/>
    </row>
    <row r="23" spans="1:7" ht="18">
      <c r="A23" s="83" t="s">
        <v>77</v>
      </c>
      <c r="B23" s="84" t="s">
        <v>78</v>
      </c>
      <c r="C23" s="127">
        <v>0</v>
      </c>
      <c r="D23" s="124"/>
      <c r="E23" s="125" t="s">
        <v>111</v>
      </c>
      <c r="F23" s="75"/>
      <c r="G23" s="75"/>
    </row>
    <row r="24" spans="1:7" ht="18">
      <c r="A24" s="83"/>
      <c r="B24" s="86" t="s">
        <v>70</v>
      </c>
      <c r="C24" s="128">
        <f>C21+C23</f>
        <v>2600000</v>
      </c>
      <c r="D24" s="124"/>
      <c r="E24" s="126"/>
      <c r="F24" s="75"/>
      <c r="G24" s="75"/>
    </row>
    <row r="25" spans="1:4" ht="12.75">
      <c r="A25" s="87"/>
      <c r="B25" s="87"/>
      <c r="C25" s="87"/>
      <c r="D25" s="88"/>
    </row>
    <row r="26" spans="1:4" ht="15" hidden="1">
      <c r="A26" s="79" t="s">
        <v>79</v>
      </c>
      <c r="B26" s="79"/>
      <c r="C26" s="87"/>
      <c r="D26" s="88"/>
    </row>
    <row r="27" spans="1:4" ht="12.75" hidden="1">
      <c r="A27" s="87"/>
      <c r="B27" s="87"/>
      <c r="C27" s="87"/>
      <c r="D27" s="88"/>
    </row>
    <row r="28" spans="1:4" ht="45" hidden="1">
      <c r="A28" s="84" t="s">
        <v>69</v>
      </c>
      <c r="B28" s="84" t="s">
        <v>73</v>
      </c>
      <c r="C28" s="85" t="s">
        <v>80</v>
      </c>
      <c r="D28" s="88"/>
    </row>
    <row r="29" spans="1:4" ht="45.75" hidden="1">
      <c r="A29" s="83" t="s">
        <v>74</v>
      </c>
      <c r="B29" s="85" t="s">
        <v>76</v>
      </c>
      <c r="C29" s="89"/>
      <c r="D29" s="88"/>
    </row>
    <row r="30" spans="1:4" ht="18" hidden="1">
      <c r="A30" s="83" t="s">
        <v>75</v>
      </c>
      <c r="B30" s="84" t="s">
        <v>78</v>
      </c>
      <c r="C30" s="89"/>
      <c r="D30" s="88"/>
    </row>
    <row r="31" spans="1:4" ht="18" hidden="1">
      <c r="A31" s="83"/>
      <c r="B31" s="86" t="s">
        <v>70</v>
      </c>
      <c r="C31" s="90">
        <f>C29+C30</f>
        <v>0</v>
      </c>
      <c r="D31" s="88"/>
    </row>
    <row r="32" spans="1:4" ht="12.75">
      <c r="A32" s="91"/>
      <c r="B32" s="91"/>
      <c r="C32" s="91"/>
      <c r="D32" s="92"/>
    </row>
    <row r="34" spans="1:4" ht="12.75">
      <c r="A34" s="87"/>
      <c r="B34" s="87"/>
      <c r="C34" s="87"/>
      <c r="D34" s="88"/>
    </row>
    <row r="35" spans="1:4" ht="15">
      <c r="A35" s="79" t="s">
        <v>79</v>
      </c>
      <c r="B35" s="79"/>
      <c r="C35" s="87"/>
      <c r="D35" s="88"/>
    </row>
    <row r="36" spans="1:4" ht="12.75">
      <c r="A36" s="87"/>
      <c r="B36" s="87"/>
      <c r="C36" s="87"/>
      <c r="D36" s="88"/>
    </row>
    <row r="37" spans="1:5" ht="47.25" customHeight="1">
      <c r="A37" s="81" t="s">
        <v>69</v>
      </c>
      <c r="B37" s="81" t="s">
        <v>112</v>
      </c>
      <c r="C37" s="310" t="s">
        <v>146</v>
      </c>
      <c r="D37" s="310"/>
      <c r="E37" s="310"/>
    </row>
    <row r="38" spans="1:5" ht="18">
      <c r="A38" s="93">
        <v>1</v>
      </c>
      <c r="B38" s="84" t="s">
        <v>66</v>
      </c>
      <c r="C38" s="311">
        <v>0</v>
      </c>
      <c r="D38" s="311"/>
      <c r="E38" s="311"/>
    </row>
    <row r="39" spans="1:5" ht="45.75">
      <c r="A39" s="83" t="s">
        <v>75</v>
      </c>
      <c r="B39" s="85" t="s">
        <v>109</v>
      </c>
      <c r="C39" s="311">
        <v>0</v>
      </c>
      <c r="D39" s="311"/>
      <c r="E39" s="311"/>
    </row>
    <row r="40" spans="1:5" ht="28.5" customHeight="1">
      <c r="A40" s="83"/>
      <c r="B40" s="85" t="s">
        <v>110</v>
      </c>
      <c r="C40" s="313">
        <v>0</v>
      </c>
      <c r="D40" s="314"/>
      <c r="E40" s="315"/>
    </row>
    <row r="41" spans="1:5" ht="18">
      <c r="A41" s="83" t="s">
        <v>77</v>
      </c>
      <c r="B41" s="84" t="s">
        <v>78</v>
      </c>
      <c r="C41" s="311">
        <v>0</v>
      </c>
      <c r="D41" s="311"/>
      <c r="E41" s="311"/>
    </row>
    <row r="42" spans="1:5" ht="18">
      <c r="A42" s="83"/>
      <c r="B42" s="86" t="s">
        <v>70</v>
      </c>
      <c r="C42" s="312">
        <f>C38+C39+C41</f>
        <v>0</v>
      </c>
      <c r="D42" s="312"/>
      <c r="E42" s="312"/>
    </row>
    <row r="43" spans="1:4" ht="12.75">
      <c r="A43" s="91"/>
      <c r="B43" s="91"/>
      <c r="C43" s="91"/>
      <c r="D43" s="92"/>
    </row>
  </sheetData>
  <sheetProtection/>
  <mergeCells count="14">
    <mergeCell ref="C37:E37"/>
    <mergeCell ref="C38:E38"/>
    <mergeCell ref="C39:E39"/>
    <mergeCell ref="C41:E41"/>
    <mergeCell ref="C42:E42"/>
    <mergeCell ref="C40:E40"/>
    <mergeCell ref="B14:C14"/>
    <mergeCell ref="B15:C15"/>
    <mergeCell ref="B6:C6"/>
    <mergeCell ref="C1:E1"/>
    <mergeCell ref="C2:E2"/>
    <mergeCell ref="C3:E3"/>
    <mergeCell ref="C4:E4"/>
    <mergeCell ref="C5:E5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4">
      <selection activeCell="C5" sqref="C5:G5"/>
    </sheetView>
  </sheetViews>
  <sheetFormatPr defaultColWidth="9.00390625" defaultRowHeight="12.75"/>
  <cols>
    <col min="1" max="1" width="4.625" style="0" customWidth="1"/>
    <col min="2" max="2" width="39.125" style="0" customWidth="1"/>
    <col min="3" max="3" width="19.875" style="0" customWidth="1"/>
    <col min="4" max="4" width="2.875" style="0" hidden="1" customWidth="1"/>
    <col min="5" max="5" width="20.625" style="0" customWidth="1"/>
    <col min="6" max="6" width="13.375" style="0" customWidth="1"/>
    <col min="7" max="7" width="15.375" style="0" customWidth="1"/>
    <col min="8" max="8" width="3.625" style="0" customWidth="1"/>
    <col min="11" max="11" width="12.00390625" style="0" customWidth="1"/>
  </cols>
  <sheetData>
    <row r="1" spans="1:7" s="1" customFormat="1" ht="12.75">
      <c r="A1" s="29"/>
      <c r="B1" s="29"/>
      <c r="C1" s="291" t="s">
        <v>130</v>
      </c>
      <c r="D1" s="291"/>
      <c r="E1" s="291"/>
      <c r="F1" s="291"/>
      <c r="G1" s="291"/>
    </row>
    <row r="2" spans="1:7" s="1" customFormat="1" ht="12.75">
      <c r="A2" s="29"/>
      <c r="B2" s="29"/>
      <c r="C2" s="291" t="s">
        <v>67</v>
      </c>
      <c r="D2" s="291"/>
      <c r="E2" s="291"/>
      <c r="F2" s="291"/>
      <c r="G2" s="291"/>
    </row>
    <row r="3" spans="1:7" s="1" customFormat="1" ht="12.75">
      <c r="A3" s="29"/>
      <c r="B3" s="29"/>
      <c r="C3" s="291" t="s">
        <v>68</v>
      </c>
      <c r="D3" s="291"/>
      <c r="E3" s="291"/>
      <c r="F3" s="291"/>
      <c r="G3" s="291"/>
    </row>
    <row r="4" spans="1:7" s="1" customFormat="1" ht="48.75" customHeight="1">
      <c r="A4" s="29"/>
      <c r="B4" s="2"/>
      <c r="C4" s="287" t="s">
        <v>147</v>
      </c>
      <c r="D4" s="287"/>
      <c r="E4" s="287"/>
      <c r="F4" s="287"/>
      <c r="G4" s="287"/>
    </row>
    <row r="5" spans="1:7" s="1" customFormat="1" ht="13.5" customHeight="1">
      <c r="A5" s="29"/>
      <c r="B5" s="29"/>
      <c r="C5" s="291" t="s">
        <v>164</v>
      </c>
      <c r="D5" s="291"/>
      <c r="E5" s="291"/>
      <c r="F5" s="291"/>
      <c r="G5" s="291"/>
    </row>
    <row r="6" spans="3:13" ht="0.75" customHeight="1">
      <c r="C6" s="318" t="s">
        <v>28</v>
      </c>
      <c r="D6" s="318"/>
      <c r="E6" s="318"/>
      <c r="F6" s="3"/>
      <c r="G6" s="3"/>
      <c r="H6" s="3"/>
      <c r="I6" s="3"/>
      <c r="J6" s="3"/>
      <c r="K6" s="3"/>
      <c r="L6" s="3"/>
      <c r="M6" s="5"/>
    </row>
    <row r="7" spans="3:13" ht="12" customHeight="1">
      <c r="C7" s="43"/>
      <c r="D7" s="43"/>
      <c r="E7" s="43"/>
      <c r="F7" s="3"/>
      <c r="G7" s="3"/>
      <c r="H7" s="3"/>
      <c r="I7" s="3"/>
      <c r="J7" s="3"/>
      <c r="K7" s="3"/>
      <c r="L7" s="3"/>
      <c r="M7" s="5"/>
    </row>
    <row r="8" spans="2:13" ht="12.75" hidden="1">
      <c r="B8" s="39"/>
      <c r="C8" s="3"/>
      <c r="D8" s="3"/>
      <c r="E8" s="3"/>
      <c r="F8" s="3"/>
      <c r="G8" s="3"/>
      <c r="H8" s="3"/>
      <c r="I8" s="3"/>
      <c r="J8" s="3"/>
      <c r="K8" s="3"/>
      <c r="L8" s="3"/>
      <c r="M8" s="5"/>
    </row>
    <row r="9" spans="3:13" ht="12.75" hidden="1"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3:13" ht="12.75" hidden="1"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3:13" ht="12.75" hidden="1"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3:13" ht="12.75" hidden="1"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3:13" ht="12.75" hidden="1"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2" ht="18">
      <c r="A14" s="6"/>
      <c r="B14" s="317" t="s">
        <v>71</v>
      </c>
      <c r="C14" s="317"/>
      <c r="D14" s="317"/>
      <c r="E14" s="317"/>
      <c r="F14" s="6"/>
      <c r="G14" s="6"/>
      <c r="H14" s="7"/>
      <c r="I14" s="7"/>
      <c r="J14" s="7"/>
      <c r="K14" s="7"/>
      <c r="L14" s="7"/>
    </row>
    <row r="15" spans="1:12" ht="32.25" customHeight="1">
      <c r="A15" s="6"/>
      <c r="B15" s="316" t="s">
        <v>148</v>
      </c>
      <c r="C15" s="316"/>
      <c r="D15" s="316"/>
      <c r="E15" s="316"/>
      <c r="F15" s="6"/>
      <c r="G15" s="6"/>
      <c r="H15" s="7"/>
      <c r="I15" s="7"/>
      <c r="J15" s="7"/>
      <c r="K15" s="7"/>
      <c r="L15" s="7"/>
    </row>
    <row r="16" spans="1:12" ht="18">
      <c r="A16" s="6"/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</row>
    <row r="17" spans="1:12" ht="18">
      <c r="A17" s="8" t="s">
        <v>72</v>
      </c>
      <c r="B17" s="8"/>
      <c r="C17" s="8"/>
      <c r="D17" s="9"/>
      <c r="E17" s="6"/>
      <c r="F17" s="6"/>
      <c r="G17" s="6"/>
      <c r="H17" s="7"/>
      <c r="I17" s="7"/>
      <c r="J17" s="7"/>
      <c r="K17" s="7"/>
      <c r="L17" s="7"/>
    </row>
    <row r="18" spans="1:12" ht="18">
      <c r="A18" s="10"/>
      <c r="B18" s="10"/>
      <c r="C18" s="10"/>
      <c r="D18" s="11"/>
      <c r="E18" s="6"/>
      <c r="F18" s="6"/>
      <c r="G18" s="6"/>
      <c r="H18" s="7"/>
      <c r="I18" s="7"/>
      <c r="J18" s="7"/>
      <c r="K18" s="7"/>
      <c r="L18" s="7"/>
    </row>
    <row r="19" spans="1:12" ht="79.5" customHeight="1">
      <c r="A19" s="41" t="s">
        <v>69</v>
      </c>
      <c r="B19" s="81" t="s">
        <v>107</v>
      </c>
      <c r="C19" s="41" t="s">
        <v>131</v>
      </c>
      <c r="D19" s="42"/>
      <c r="E19" s="41" t="s">
        <v>113</v>
      </c>
      <c r="F19" s="41" t="s">
        <v>149</v>
      </c>
      <c r="G19" s="41" t="s">
        <v>113</v>
      </c>
      <c r="H19" s="129"/>
      <c r="I19" s="7"/>
      <c r="J19" s="7"/>
      <c r="K19" s="7"/>
      <c r="L19" s="7"/>
    </row>
    <row r="20" spans="1:12" ht="30.75" customHeight="1">
      <c r="A20" s="40" t="s">
        <v>74</v>
      </c>
      <c r="B20" s="12" t="s">
        <v>66</v>
      </c>
      <c r="C20" s="130">
        <v>0</v>
      </c>
      <c r="D20" s="138"/>
      <c r="E20" s="131" t="s">
        <v>111</v>
      </c>
      <c r="F20" s="139">
        <v>0</v>
      </c>
      <c r="G20" s="139" t="s">
        <v>111</v>
      </c>
      <c r="H20" s="7"/>
      <c r="I20" s="7"/>
      <c r="J20" s="7"/>
      <c r="K20" s="7"/>
      <c r="L20" s="7"/>
    </row>
    <row r="21" spans="1:7" ht="58.5" customHeight="1">
      <c r="A21" s="40" t="s">
        <v>75</v>
      </c>
      <c r="B21" s="13" t="s">
        <v>76</v>
      </c>
      <c r="C21" s="131">
        <v>0</v>
      </c>
      <c r="D21" s="138"/>
      <c r="E21" s="131" t="s">
        <v>111</v>
      </c>
      <c r="F21" s="139">
        <v>0</v>
      </c>
      <c r="G21" s="139" t="s">
        <v>111</v>
      </c>
    </row>
    <row r="22" spans="1:7" ht="43.5" customHeight="1">
      <c r="A22" s="40"/>
      <c r="B22" s="85" t="s">
        <v>110</v>
      </c>
      <c r="C22" s="131">
        <v>0</v>
      </c>
      <c r="D22" s="138"/>
      <c r="E22" s="131" t="s">
        <v>111</v>
      </c>
      <c r="F22" s="139">
        <v>0</v>
      </c>
      <c r="G22" s="139" t="s">
        <v>111</v>
      </c>
    </row>
    <row r="23" spans="1:7" ht="18">
      <c r="A23" s="40" t="s">
        <v>77</v>
      </c>
      <c r="B23" s="12" t="s">
        <v>78</v>
      </c>
      <c r="C23" s="130">
        <v>0</v>
      </c>
      <c r="D23" s="130">
        <v>0</v>
      </c>
      <c r="E23" s="130"/>
      <c r="F23" s="139">
        <v>0</v>
      </c>
      <c r="G23" s="139" t="s">
        <v>111</v>
      </c>
    </row>
    <row r="24" spans="1:7" ht="18">
      <c r="A24" s="14"/>
      <c r="B24" s="15" t="s">
        <v>70</v>
      </c>
      <c r="C24" s="132">
        <f>SUM(C21:C23)</f>
        <v>0</v>
      </c>
      <c r="D24" s="132">
        <f>SUM(D21:D23)</f>
        <v>0</v>
      </c>
      <c r="E24" s="132"/>
      <c r="F24" s="139">
        <v>0</v>
      </c>
      <c r="G24" s="139"/>
    </row>
    <row r="25" spans="1:7" ht="12.75">
      <c r="A25" s="16"/>
      <c r="B25" s="16"/>
      <c r="C25" s="140"/>
      <c r="D25" s="141"/>
      <c r="E25" s="142"/>
      <c r="F25" s="142"/>
      <c r="G25" s="142"/>
    </row>
    <row r="26" spans="1:7" ht="15" hidden="1">
      <c r="A26" s="10" t="s">
        <v>79</v>
      </c>
      <c r="B26" s="10"/>
      <c r="C26" s="133"/>
      <c r="D26" s="134"/>
      <c r="E26" s="118"/>
      <c r="F26" s="118"/>
      <c r="G26" s="118"/>
    </row>
    <row r="27" spans="1:7" ht="12.75" hidden="1">
      <c r="A27" s="16"/>
      <c r="B27" s="16"/>
      <c r="C27" s="133"/>
      <c r="D27" s="134"/>
      <c r="E27" s="118"/>
      <c r="F27" s="118"/>
      <c r="G27" s="118"/>
    </row>
    <row r="28" spans="1:7" ht="60" hidden="1">
      <c r="A28" s="12" t="s">
        <v>69</v>
      </c>
      <c r="B28" s="12" t="s">
        <v>73</v>
      </c>
      <c r="C28" s="135" t="s">
        <v>80</v>
      </c>
      <c r="D28" s="134"/>
      <c r="E28" s="118"/>
      <c r="F28" s="118"/>
      <c r="G28" s="118"/>
    </row>
    <row r="29" spans="1:7" ht="45.75" hidden="1">
      <c r="A29" s="14" t="s">
        <v>74</v>
      </c>
      <c r="B29" s="13" t="s">
        <v>76</v>
      </c>
      <c r="C29" s="131"/>
      <c r="D29" s="134"/>
      <c r="E29" s="118"/>
      <c r="F29" s="118"/>
      <c r="G29" s="118"/>
    </row>
    <row r="30" spans="1:7" ht="18" hidden="1">
      <c r="A30" s="14" t="s">
        <v>75</v>
      </c>
      <c r="B30" s="12" t="s">
        <v>78</v>
      </c>
      <c r="C30" s="131"/>
      <c r="D30" s="134"/>
      <c r="E30" s="118"/>
      <c r="F30" s="118"/>
      <c r="G30" s="118"/>
    </row>
    <row r="31" spans="1:7" ht="18" hidden="1">
      <c r="A31" s="14"/>
      <c r="B31" s="15" t="s">
        <v>70</v>
      </c>
      <c r="C31" s="132">
        <f>C29+C30</f>
        <v>0</v>
      </c>
      <c r="D31" s="134"/>
      <c r="E31" s="118"/>
      <c r="F31" s="118"/>
      <c r="G31" s="118"/>
    </row>
    <row r="32" spans="1:7" ht="12.75">
      <c r="A32" s="18"/>
      <c r="B32" s="18"/>
      <c r="C32" s="136"/>
      <c r="D32" s="137"/>
      <c r="E32" s="118"/>
      <c r="F32" s="118"/>
      <c r="G32" s="118"/>
    </row>
    <row r="34" spans="1:4" ht="12.75">
      <c r="A34" s="16"/>
      <c r="B34" s="16"/>
      <c r="C34" s="16"/>
      <c r="D34" s="17"/>
    </row>
    <row r="35" spans="1:4" ht="15">
      <c r="A35" s="10" t="s">
        <v>79</v>
      </c>
      <c r="B35" s="10"/>
      <c r="C35" s="16"/>
      <c r="D35" s="17"/>
    </row>
    <row r="36" spans="1:4" ht="12.75">
      <c r="A36" s="16"/>
      <c r="B36" s="16"/>
      <c r="C36" s="16"/>
      <c r="D36" s="17"/>
    </row>
    <row r="37" spans="1:5" ht="90" customHeight="1">
      <c r="A37" s="41" t="s">
        <v>69</v>
      </c>
      <c r="B37" s="81" t="s">
        <v>107</v>
      </c>
      <c r="C37" s="41" t="s">
        <v>132</v>
      </c>
      <c r="D37" s="44"/>
      <c r="E37" s="41" t="s">
        <v>150</v>
      </c>
    </row>
    <row r="38" spans="1:5" ht="18">
      <c r="A38" s="40">
        <v>1</v>
      </c>
      <c r="B38" s="12" t="s">
        <v>66</v>
      </c>
      <c r="C38" s="143">
        <v>0</v>
      </c>
      <c r="D38" s="144"/>
      <c r="E38" s="145">
        <v>0</v>
      </c>
    </row>
    <row r="39" spans="1:5" ht="45.75">
      <c r="A39" s="40" t="s">
        <v>75</v>
      </c>
      <c r="B39" s="13" t="s">
        <v>76</v>
      </c>
      <c r="C39" s="145">
        <v>0</v>
      </c>
      <c r="D39" s="144"/>
      <c r="E39" s="145">
        <v>0</v>
      </c>
    </row>
    <row r="40" spans="1:5" ht="45.75">
      <c r="A40" s="40"/>
      <c r="B40" s="85" t="s">
        <v>110</v>
      </c>
      <c r="C40" s="145">
        <v>0</v>
      </c>
      <c r="D40" s="144"/>
      <c r="E40" s="145">
        <v>0</v>
      </c>
    </row>
    <row r="41" spans="1:5" ht="18">
      <c r="A41" s="40" t="s">
        <v>77</v>
      </c>
      <c r="B41" s="12" t="s">
        <v>78</v>
      </c>
      <c r="C41" s="143">
        <v>0</v>
      </c>
      <c r="D41" s="143">
        <v>0</v>
      </c>
      <c r="E41" s="143">
        <v>0</v>
      </c>
    </row>
    <row r="42" spans="1:5" ht="18">
      <c r="A42" s="14"/>
      <c r="B42" s="15" t="s">
        <v>70</v>
      </c>
      <c r="C42" s="146">
        <f>C39+C41</f>
        <v>0</v>
      </c>
      <c r="D42" s="146">
        <f>D39+D41</f>
        <v>0</v>
      </c>
      <c r="E42" s="146">
        <f>E39+E41</f>
        <v>0</v>
      </c>
    </row>
    <row r="43" spans="1:5" ht="12.75">
      <c r="A43" s="18"/>
      <c r="B43" s="18"/>
      <c r="C43" s="18"/>
      <c r="D43" s="19"/>
      <c r="E43" s="20"/>
    </row>
  </sheetData>
  <sheetProtection/>
  <mergeCells count="8">
    <mergeCell ref="C1:G1"/>
    <mergeCell ref="C2:G2"/>
    <mergeCell ref="C3:G3"/>
    <mergeCell ref="C4:G4"/>
    <mergeCell ref="C5:G5"/>
    <mergeCell ref="B15:E15"/>
    <mergeCell ref="B14:E14"/>
    <mergeCell ref="C6:E6"/>
  </mergeCells>
  <printOptions/>
  <pageMargins left="0" right="0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6.75390625" style="0" customWidth="1"/>
    <col min="2" max="3" width="19.25390625" style="0" customWidth="1"/>
    <col min="4" max="4" width="19.625" style="0" customWidth="1"/>
    <col min="5" max="5" width="20.375" style="0" customWidth="1"/>
    <col min="6" max="6" width="18.75390625" style="0" customWidth="1"/>
    <col min="7" max="7" width="18.375" style="0" customWidth="1"/>
    <col min="8" max="8" width="8.875" style="0" customWidth="1"/>
    <col min="9" max="9" width="7.25390625" style="0" customWidth="1"/>
    <col min="10" max="10" width="0.12890625" style="0" customWidth="1"/>
    <col min="13" max="13" width="12.00390625" style="0" customWidth="1"/>
  </cols>
  <sheetData>
    <row r="1" spans="5:15" s="1" customFormat="1" ht="12.75">
      <c r="E1" s="29"/>
      <c r="F1" s="29" t="s">
        <v>133</v>
      </c>
      <c r="G1" s="29"/>
      <c r="H1" s="29"/>
      <c r="J1" s="58"/>
      <c r="K1" s="59"/>
      <c r="L1" s="59"/>
      <c r="M1" s="59"/>
      <c r="N1" s="60"/>
      <c r="O1" s="61"/>
    </row>
    <row r="2" spans="5:15" s="1" customFormat="1" ht="12.75">
      <c r="E2" s="29"/>
      <c r="F2" s="29" t="s">
        <v>45</v>
      </c>
      <c r="G2" s="29"/>
      <c r="H2" s="29"/>
      <c r="I2" s="291"/>
      <c r="J2" s="291"/>
      <c r="K2" s="291"/>
      <c r="L2" s="291"/>
      <c r="M2" s="291"/>
      <c r="N2" s="291"/>
      <c r="O2" s="61"/>
    </row>
    <row r="3" spans="5:15" s="1" customFormat="1" ht="12.75">
      <c r="E3" s="29"/>
      <c r="F3" s="29" t="s">
        <v>46</v>
      </c>
      <c r="G3" s="29"/>
      <c r="H3" s="29"/>
      <c r="J3" s="58"/>
      <c r="K3" s="328"/>
      <c r="L3" s="328"/>
      <c r="M3" s="328"/>
      <c r="N3" s="328"/>
      <c r="O3" s="328"/>
    </row>
    <row r="4" spans="5:15" s="1" customFormat="1" ht="46.5" customHeight="1">
      <c r="E4" s="2"/>
      <c r="F4" s="329" t="s">
        <v>151</v>
      </c>
      <c r="G4" s="329"/>
      <c r="H4" s="2"/>
      <c r="J4" s="291"/>
      <c r="K4" s="291"/>
      <c r="L4" s="291"/>
      <c r="M4" s="291"/>
      <c r="N4" s="291"/>
      <c r="O4" s="61"/>
    </row>
    <row r="5" spans="5:15" s="1" customFormat="1" ht="16.5" customHeight="1">
      <c r="E5" s="29"/>
      <c r="F5" s="29" t="s">
        <v>165</v>
      </c>
      <c r="G5" s="29"/>
      <c r="H5" s="29"/>
      <c r="J5" s="58"/>
      <c r="K5" s="328"/>
      <c r="L5" s="328"/>
      <c r="M5" s="328"/>
      <c r="N5" s="328"/>
      <c r="O5" s="328"/>
    </row>
    <row r="6" spans="7:15" ht="12.75">
      <c r="G6" s="3"/>
      <c r="H6" s="3"/>
      <c r="I6" s="3"/>
      <c r="J6" s="3"/>
      <c r="K6" s="3"/>
      <c r="L6" s="3"/>
      <c r="M6" s="3"/>
      <c r="N6" s="3"/>
      <c r="O6" s="5"/>
    </row>
    <row r="7" spans="5:15" ht="12.75">
      <c r="E7" s="3"/>
      <c r="F7" s="3"/>
      <c r="G7" s="3"/>
      <c r="H7" s="3"/>
      <c r="I7" s="3"/>
      <c r="J7" s="3"/>
      <c r="K7" s="3"/>
      <c r="L7" s="3"/>
      <c r="M7" s="3"/>
      <c r="N7" s="3"/>
      <c r="O7" s="5"/>
    </row>
    <row r="8" spans="2:14" ht="18">
      <c r="B8" s="290" t="s">
        <v>47</v>
      </c>
      <c r="C8" s="290"/>
      <c r="D8" s="290"/>
      <c r="E8" s="290"/>
      <c r="F8" s="290"/>
      <c r="G8" s="6"/>
      <c r="H8" s="6"/>
      <c r="I8" s="6"/>
      <c r="J8" s="7"/>
      <c r="K8" s="7"/>
      <c r="L8" s="7"/>
      <c r="M8" s="7"/>
      <c r="N8" s="7"/>
    </row>
    <row r="9" spans="1:14" ht="18.75" customHeight="1">
      <c r="A9" s="290" t="s">
        <v>152</v>
      </c>
      <c r="B9" s="290"/>
      <c r="C9" s="290"/>
      <c r="D9" s="290"/>
      <c r="E9" s="290"/>
      <c r="F9" s="290"/>
      <c r="G9" s="290"/>
      <c r="H9" s="6"/>
      <c r="I9" s="6"/>
      <c r="J9" s="7"/>
      <c r="K9" s="7"/>
      <c r="L9" s="7"/>
      <c r="M9" s="7"/>
      <c r="N9" s="7"/>
    </row>
    <row r="10" spans="2:14" ht="13.5" customHeight="1">
      <c r="B10" s="57"/>
      <c r="C10" s="57"/>
      <c r="D10" s="57"/>
      <c r="E10" s="57"/>
      <c r="F10" s="57"/>
      <c r="G10" s="6"/>
      <c r="H10" s="6"/>
      <c r="I10" s="6"/>
      <c r="J10" s="7"/>
      <c r="K10" s="7"/>
      <c r="L10" s="7"/>
      <c r="M10" s="7"/>
      <c r="N10" s="7"/>
    </row>
    <row r="11" spans="2:14" ht="18">
      <c r="B11" s="320" t="s">
        <v>153</v>
      </c>
      <c r="C11" s="320"/>
      <c r="D11" s="320"/>
      <c r="E11" s="320"/>
      <c r="F11" s="320"/>
      <c r="G11" s="6"/>
      <c r="H11" s="6"/>
      <c r="I11" s="6"/>
      <c r="J11" s="7"/>
      <c r="K11" s="7"/>
      <c r="L11" s="7"/>
      <c r="M11" s="7"/>
      <c r="N11" s="7"/>
    </row>
    <row r="12" spans="2:14" ht="18">
      <c r="B12" s="6"/>
      <c r="C12" s="6"/>
      <c r="D12" s="6"/>
      <c r="E12" s="6"/>
      <c r="F12" s="6"/>
      <c r="G12" s="6"/>
      <c r="H12" s="6"/>
      <c r="I12" s="6"/>
      <c r="J12" s="7"/>
      <c r="K12" s="7"/>
      <c r="L12" s="7"/>
      <c r="M12" s="7"/>
      <c r="N12" s="7"/>
    </row>
    <row r="13" spans="1:14" ht="75.75">
      <c r="A13" s="20"/>
      <c r="B13" s="21" t="s">
        <v>114</v>
      </c>
      <c r="C13" s="21" t="s">
        <v>115</v>
      </c>
      <c r="D13" s="21" t="s">
        <v>116</v>
      </c>
      <c r="E13" s="21" t="s">
        <v>117</v>
      </c>
      <c r="F13" s="21" t="s">
        <v>48</v>
      </c>
      <c r="G13" s="21" t="s">
        <v>118</v>
      </c>
      <c r="H13" s="6"/>
      <c r="I13" s="6"/>
      <c r="J13" s="7"/>
      <c r="K13" s="7"/>
      <c r="L13" s="7"/>
      <c r="M13" s="7"/>
      <c r="N13" s="7"/>
    </row>
    <row r="14" spans="1:14" ht="18">
      <c r="A14" s="62">
        <v>1</v>
      </c>
      <c r="B14" s="62">
        <v>2</v>
      </c>
      <c r="C14" s="62">
        <v>3</v>
      </c>
      <c r="D14" s="62">
        <v>4</v>
      </c>
      <c r="E14" s="62">
        <v>5</v>
      </c>
      <c r="F14" s="62">
        <v>6</v>
      </c>
      <c r="G14" s="62">
        <v>7</v>
      </c>
      <c r="H14" s="6"/>
      <c r="I14" s="6"/>
      <c r="J14" s="7"/>
      <c r="K14" s="7"/>
      <c r="L14" s="7"/>
      <c r="M14" s="7"/>
      <c r="N14" s="7"/>
    </row>
    <row r="15" spans="1:14" ht="18">
      <c r="A15" s="20"/>
      <c r="B15" s="12"/>
      <c r="C15" s="12"/>
      <c r="D15" s="12"/>
      <c r="E15" s="12"/>
      <c r="F15" s="12"/>
      <c r="G15" s="12"/>
      <c r="H15" s="6"/>
      <c r="I15" s="6"/>
      <c r="J15" s="7"/>
      <c r="K15" s="7"/>
      <c r="L15" s="7"/>
      <c r="M15" s="7"/>
      <c r="N15" s="7"/>
    </row>
    <row r="16" spans="1:14" ht="18">
      <c r="A16" s="20"/>
      <c r="B16" s="12" t="s">
        <v>49</v>
      </c>
      <c r="C16" s="40" t="s">
        <v>111</v>
      </c>
      <c r="D16" s="40" t="s">
        <v>111</v>
      </c>
      <c r="E16" s="40" t="s">
        <v>111</v>
      </c>
      <c r="F16" s="40" t="s">
        <v>111</v>
      </c>
      <c r="G16" s="40" t="s">
        <v>111</v>
      </c>
      <c r="H16" s="6"/>
      <c r="I16" s="6"/>
      <c r="J16" s="7"/>
      <c r="K16" s="7"/>
      <c r="L16" s="7"/>
      <c r="M16" s="7"/>
      <c r="N16" s="7"/>
    </row>
    <row r="17" spans="1:14" ht="43.5" customHeight="1">
      <c r="A17" s="16"/>
      <c r="B17" s="321" t="s">
        <v>154</v>
      </c>
      <c r="C17" s="321"/>
      <c r="D17" s="321"/>
      <c r="E17" s="321"/>
      <c r="F17" s="321"/>
      <c r="G17" s="6"/>
      <c r="H17" s="6"/>
      <c r="I17" s="6"/>
      <c r="J17" s="7"/>
      <c r="K17" s="7"/>
      <c r="L17" s="7"/>
      <c r="M17" s="7"/>
      <c r="N17" s="7"/>
    </row>
    <row r="18" spans="1:14" ht="18">
      <c r="A18" s="16"/>
      <c r="B18" s="10"/>
      <c r="C18" s="10"/>
      <c r="D18" s="10"/>
      <c r="E18" s="10"/>
      <c r="F18" s="10"/>
      <c r="G18" s="6"/>
      <c r="H18" s="6"/>
      <c r="I18" s="6"/>
      <c r="J18" s="7"/>
      <c r="K18" s="7"/>
      <c r="L18" s="7"/>
      <c r="M18" s="7"/>
      <c r="N18" s="7"/>
    </row>
    <row r="19" spans="1:14" ht="30.75" customHeight="1">
      <c r="A19" s="322" t="s">
        <v>119</v>
      </c>
      <c r="B19" s="322"/>
      <c r="C19" s="322"/>
      <c r="D19" s="322" t="s">
        <v>95</v>
      </c>
      <c r="E19" s="322"/>
      <c r="F19" s="322"/>
      <c r="G19" s="322"/>
      <c r="H19" s="6"/>
      <c r="I19" s="6"/>
      <c r="J19" s="7"/>
      <c r="K19" s="7"/>
      <c r="L19" s="7"/>
      <c r="M19" s="7"/>
      <c r="N19" s="7"/>
    </row>
    <row r="20" spans="1:14" ht="30.75" customHeight="1">
      <c r="A20" s="323" t="s">
        <v>120</v>
      </c>
      <c r="B20" s="324"/>
      <c r="C20" s="325"/>
      <c r="D20" s="326">
        <v>0</v>
      </c>
      <c r="E20" s="326"/>
      <c r="F20" s="326"/>
      <c r="G20" s="327"/>
      <c r="H20" s="6"/>
      <c r="I20" s="6"/>
      <c r="J20" s="7"/>
      <c r="K20" s="7"/>
      <c r="L20" s="7"/>
      <c r="M20" s="7"/>
      <c r="N20" s="7"/>
    </row>
    <row r="21" spans="1:9" ht="30" customHeight="1">
      <c r="A21" s="323" t="s">
        <v>121</v>
      </c>
      <c r="B21" s="324"/>
      <c r="C21" s="325"/>
      <c r="D21" s="322">
        <v>0</v>
      </c>
      <c r="E21" s="322"/>
      <c r="F21" s="322"/>
      <c r="G21" s="322"/>
      <c r="H21" s="6"/>
      <c r="I21" s="6"/>
    </row>
    <row r="22" spans="1:9" ht="18">
      <c r="A22" s="16"/>
      <c r="B22" s="63"/>
      <c r="C22" s="63"/>
      <c r="D22" s="319"/>
      <c r="E22" s="319"/>
      <c r="F22" s="10"/>
      <c r="G22" s="6"/>
      <c r="H22" s="6"/>
      <c r="I22" s="6"/>
    </row>
    <row r="23" spans="1:9" ht="18">
      <c r="A23" s="16"/>
      <c r="B23" s="64"/>
      <c r="C23" s="64"/>
      <c r="D23" s="65"/>
      <c r="E23" s="66"/>
      <c r="F23" s="10"/>
      <c r="G23" s="6"/>
      <c r="H23" s="6"/>
      <c r="I23" s="6"/>
    </row>
    <row r="24" spans="1:6" ht="12.75">
      <c r="A24" s="16"/>
      <c r="B24" s="16"/>
      <c r="C24" s="16"/>
      <c r="D24" s="16"/>
      <c r="E24" s="16"/>
      <c r="F24" s="16"/>
    </row>
    <row r="25" spans="1:6" ht="15" hidden="1">
      <c r="A25" s="16"/>
      <c r="B25" s="10"/>
      <c r="C25" s="10"/>
      <c r="D25" s="10"/>
      <c r="E25" s="16"/>
      <c r="F25" s="16"/>
    </row>
    <row r="26" spans="1:6" ht="12.75" hidden="1">
      <c r="A26" s="16"/>
      <c r="B26" s="16"/>
      <c r="C26" s="16"/>
      <c r="D26" s="16"/>
      <c r="E26" s="16"/>
      <c r="F26" s="16"/>
    </row>
    <row r="27" spans="1:6" ht="15" hidden="1">
      <c r="A27" s="16"/>
      <c r="B27" s="10"/>
      <c r="C27" s="10"/>
      <c r="D27" s="10"/>
      <c r="E27" s="67"/>
      <c r="F27" s="16"/>
    </row>
    <row r="28" spans="1:6" ht="18" hidden="1">
      <c r="A28" s="16"/>
      <c r="B28" s="64"/>
      <c r="C28" s="64"/>
      <c r="D28" s="67"/>
      <c r="E28" s="63"/>
      <c r="F28" s="16"/>
    </row>
    <row r="29" spans="1:6" ht="18" hidden="1">
      <c r="A29" s="16"/>
      <c r="B29" s="64"/>
      <c r="C29" s="64"/>
      <c r="D29" s="10"/>
      <c r="E29" s="63"/>
      <c r="F29" s="16"/>
    </row>
    <row r="30" spans="1:6" ht="18" hidden="1">
      <c r="A30" s="16"/>
      <c r="B30" s="64"/>
      <c r="C30" s="64"/>
      <c r="D30" s="65"/>
      <c r="E30" s="66"/>
      <c r="F30" s="16"/>
    </row>
    <row r="31" spans="1:6" ht="12.75">
      <c r="A31" s="16"/>
      <c r="B31" s="16"/>
      <c r="C31" s="16"/>
      <c r="D31" s="16"/>
      <c r="E31" s="16"/>
      <c r="F31" s="16"/>
    </row>
  </sheetData>
  <sheetProtection/>
  <mergeCells count="16">
    <mergeCell ref="K5:O5"/>
    <mergeCell ref="B8:F8"/>
    <mergeCell ref="I2:N2"/>
    <mergeCell ref="K3:O3"/>
    <mergeCell ref="F4:G4"/>
    <mergeCell ref="J4:N4"/>
    <mergeCell ref="D22:E22"/>
    <mergeCell ref="A9:G9"/>
    <mergeCell ref="B11:F11"/>
    <mergeCell ref="B17:F17"/>
    <mergeCell ref="A19:C19"/>
    <mergeCell ref="D19:G19"/>
    <mergeCell ref="A21:C21"/>
    <mergeCell ref="D21:G21"/>
    <mergeCell ref="A20:C20"/>
    <mergeCell ref="D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RecunavaO</cp:lastModifiedBy>
  <cp:lastPrinted>2023-11-15T07:46:49Z</cp:lastPrinted>
  <dcterms:created xsi:type="dcterms:W3CDTF">2010-11-11T11:56:17Z</dcterms:created>
  <dcterms:modified xsi:type="dcterms:W3CDTF">2023-12-20T06:35:57Z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